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drawings/drawing4.xml" ContentType="application/vnd.openxmlformats-officedocument.drawing+xml"/>
  <Override PartName="/xl/drawings/drawing5.xml" ContentType="application/vnd.openxmlformats-officedocument.drawing+xml"/>
  <Override PartName="/xl/tables/table13.xml" ContentType="application/vnd.openxmlformats-officedocument.spreadsheetml.table+xml"/>
  <Override PartName="/xl/tables/table14.xml" ContentType="application/vnd.openxmlformats-officedocument.spreadsheetml.table+xml"/>
  <Override PartName="/xl/drawings/drawing6.xml" ContentType="application/vnd.openxmlformats-officedocument.drawing+xml"/>
  <Override PartName="/xl/tables/table15.xml" ContentType="application/vnd.openxmlformats-officedocument.spreadsheetml.table+xml"/>
  <Override PartName="/xl/tables/table16.xml" ContentType="application/vnd.openxmlformats-officedocument.spreadsheetml.tab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filterPrivacy="1"/>
  <xr:revisionPtr revIDLastSave="64" documentId="13_ncr:1_{0478CE64-25D0-4F2A-B02F-85E6DD2030C3}" xr6:coauthVersionLast="36" xr6:coauthVersionMax="36" xr10:uidLastSave="{2DA0605A-5B67-4D3B-B455-C7B854678455}"/>
  <bookViews>
    <workbookView xWindow="0" yWindow="0" windowWidth="19200" windowHeight="8130" tabRatio="799" xr2:uid="{00000000-000D-0000-FFFF-FFFF00000000}"/>
  </bookViews>
  <sheets>
    <sheet name="How to Use This Tool" sheetId="2" r:id="rId1"/>
    <sheet name="My Dashboard" sheetId="3" r:id="rId2"/>
    <sheet name="Monthly Budget" sheetId="1" r:id="rId3"/>
    <sheet name="Annuity Investment" sheetId="5" r:id="rId4"/>
    <sheet name="Simple Loan Calculator" sheetId="6" r:id="rId5"/>
    <sheet name="Student Loan Calculator " sheetId="8" r:id="rId6"/>
    <sheet name="Annual Budget" sheetId="10" r:id="rId7"/>
  </sheets>
  <externalReferences>
    <externalReference r:id="rId8"/>
  </externalReferences>
  <definedNames>
    <definedName name="_xlnm._FilterDatabase" localSheetId="1" hidden="1">'My Dashboard'!$C$42:$E$53</definedName>
    <definedName name="Beginning_Balance">-FV(Interest_Rate/12,Payment_Number-1,-Monthly_Payment,Loan_Amount)</definedName>
    <definedName name="CombinedMonthlyPayment">CollegeLoans18[[#Totals],[Current Monthly Payment]]</definedName>
    <definedName name="ConsLoanPayback">'Student Loan Calculator '!$L$21</definedName>
    <definedName name="Ending_Balance">-FV(Interest_Rate/12,Payment_Number,-Monthly_Payment,Loan_Amount)</definedName>
    <definedName name="EstimatedAnnualSalary" localSheetId="5">'Student Loan Calculator '!$K$2</definedName>
    <definedName name="EstimatedAnnualSalary">#REF!</definedName>
    <definedName name="EstimatedMonthlySalary" localSheetId="5">'Student Loan Calculator '!$N$21</definedName>
    <definedName name="EstimatedMonthlySalary">#REF!</definedName>
    <definedName name="Header_Row">ROW('Simple Loan Calculator'!$13:$13)</definedName>
    <definedName name="Interest">-IPMT(Interest_Rate/12,Payment_Number,Number_of_Payments,Loan_Amount)</definedName>
    <definedName name="Interest_Rate">'Simple Loan Calculator'!$C$4</definedName>
    <definedName name="Loan_Amount">'Simple Loan Calculator'!$C$3</definedName>
    <definedName name="Loan_Not_Paid">IF(Payment_Number&lt;=Number_of_Payments,1,0)</definedName>
    <definedName name="Loan_Start">'Simple Loan Calculator'!$C$6</definedName>
    <definedName name="Loan_Years">'Simple Loan Calculator'!$C$5</definedName>
    <definedName name="LoanPaybackStart" localSheetId="5">'Student Loan Calculator '!$N$2</definedName>
    <definedName name="LoanPaybackStart">#REF!</definedName>
    <definedName name="LoanStartLToday" localSheetId="5">IF('Student Loan Calculator '!LoanPaybackStart&lt;TODAY(),TRUE,FALSE)</definedName>
    <definedName name="LoanStartLToday">IF(LoanPaybackStart&lt;TODAY(),TRUE,FALSE)</definedName>
    <definedName name="Monthly_Payment">-PMT(Interest_Rate/12,Number_of_Payments,Loan_Amount)</definedName>
    <definedName name="Number_of_Payments">'Simple Loan Calculator'!$C$9</definedName>
    <definedName name="Payment_Date">DATE(YEAR(Loan_Start),MONTH(Loan_Start)+Payment_Number,DAY(Loan_Start))</definedName>
    <definedName name="Payment_Number">ROW()-Header_Row</definedName>
    <definedName name="PercentAboveBelow">IF(CollegeLoans18[[#Totals],[Scheduled Payment]]/'Student Loan Calculator '!EstimatedMonthlySalary&gt;=0.08,"above","below")</definedName>
    <definedName name="PercentageOfIncome">"CollegeLoans[[#Totals],[Monthly Payment]]/EstimatedMonthlySalary"</definedName>
    <definedName name="PercentageOfMonthlyIncome">CollegeLoans18[[#Totals],[Current Monthly Payment]]/'Student Loan Calculator '!EstimatedMonthlySalary</definedName>
    <definedName name="Principal">-PPMT(Interest_Rate/12,Payment_Number,Number_of_Payments,Loan_Amount)</definedName>
    <definedName name="_xlnm.Print_Titles" localSheetId="5">'Student Loan Calculator '!$9:$10</definedName>
    <definedName name="Total_Cost">'Simple Loan Calculator'!$C$11</definedName>
    <definedName name="Total_Income">'[1]Suggested rent'!$E$3</definedName>
    <definedName name="Total_Income_From_Sources">#REF!</definedName>
    <definedName name="Values_Entered">IF(Loan_Amount*Interest_Rate*Loan_Years*Loan_Start&gt;0,1,0)</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13" i="10" l="1"/>
  <c r="P13" i="10"/>
  <c r="P17" i="10" s="1"/>
  <c r="O14" i="10"/>
  <c r="P14" i="10"/>
  <c r="O15" i="10"/>
  <c r="P15" i="10"/>
  <c r="O16" i="10"/>
  <c r="P16" i="10"/>
  <c r="C17" i="10"/>
  <c r="D17" i="10"/>
  <c r="E17" i="10"/>
  <c r="F17" i="10"/>
  <c r="G17" i="10"/>
  <c r="H17" i="10"/>
  <c r="I17" i="10"/>
  <c r="J17" i="10"/>
  <c r="K17" i="10"/>
  <c r="L17" i="10"/>
  <c r="M17" i="10"/>
  <c r="N17" i="10"/>
  <c r="O21" i="10"/>
  <c r="P21" i="10"/>
  <c r="P34" i="10" s="1"/>
  <c r="O22" i="10"/>
  <c r="P22" i="10"/>
  <c r="O23" i="10"/>
  <c r="O34" i="10" s="1"/>
  <c r="C5" i="10" s="1"/>
  <c r="P23" i="10"/>
  <c r="O24" i="10"/>
  <c r="P24" i="10"/>
  <c r="O25" i="10"/>
  <c r="P25" i="10"/>
  <c r="O26" i="10"/>
  <c r="P26" i="10"/>
  <c r="O27" i="10"/>
  <c r="P27" i="10"/>
  <c r="O28" i="10"/>
  <c r="P28" i="10"/>
  <c r="O29" i="10"/>
  <c r="P29" i="10"/>
  <c r="O30" i="10"/>
  <c r="P30" i="10"/>
  <c r="O31" i="10"/>
  <c r="P31" i="10"/>
  <c r="O32" i="10"/>
  <c r="P32" i="10"/>
  <c r="O33" i="10"/>
  <c r="P33" i="10"/>
  <c r="C34" i="10"/>
  <c r="D34" i="10"/>
  <c r="E34" i="10"/>
  <c r="F34" i="10"/>
  <c r="G34" i="10"/>
  <c r="H34" i="10"/>
  <c r="I34" i="10"/>
  <c r="J34" i="10"/>
  <c r="K34" i="10"/>
  <c r="L34" i="10"/>
  <c r="M34" i="10"/>
  <c r="N34" i="10"/>
  <c r="O17" i="10" l="1"/>
  <c r="C4" i="10" s="1"/>
  <c r="C7" i="10" s="1"/>
  <c r="N2" i="8"/>
  <c r="L14" i="8" s="1"/>
  <c r="J11" i="8"/>
  <c r="N11" i="8"/>
  <c r="O11" i="8" s="1"/>
  <c r="H12" i="8"/>
  <c r="J13" i="8"/>
  <c r="N13" i="8"/>
  <c r="M13" i="8" s="1"/>
  <c r="J14" i="8"/>
  <c r="N14" i="8"/>
  <c r="M14" i="8" s="1"/>
  <c r="J15" i="8"/>
  <c r="N15" i="8"/>
  <c r="M15" i="8" s="1"/>
  <c r="J16" i="8"/>
  <c r="N16" i="8"/>
  <c r="M16" i="8" s="1"/>
  <c r="E17" i="8"/>
  <c r="E18" i="8"/>
  <c r="F18" i="8"/>
  <c r="N21" i="8"/>
  <c r="C9" i="10" l="1"/>
  <c r="L12" i="8"/>
  <c r="O14" i="8"/>
  <c r="L11" i="8"/>
  <c r="L16" i="8"/>
  <c r="L15" i="8"/>
  <c r="M11" i="8"/>
  <c r="L13" i="8"/>
  <c r="O16" i="8"/>
  <c r="J12" i="8"/>
  <c r="O13" i="8"/>
  <c r="O15" i="8"/>
  <c r="N12" i="8"/>
  <c r="L17" i="8" l="1"/>
  <c r="F6" i="8" s="1"/>
  <c r="O12" i="8"/>
  <c r="N17" i="8"/>
  <c r="M12" i="8"/>
  <c r="M18" i="8" s="1"/>
  <c r="F7" i="8" l="1"/>
  <c r="O17" i="8"/>
  <c r="O18" i="8"/>
  <c r="M17" i="8"/>
  <c r="L21" i="8" s="1"/>
  <c r="O6" i="8"/>
  <c r="O7" i="8"/>
  <c r="C6" i="6" l="1"/>
  <c r="C9" i="6" l="1"/>
  <c r="G376" i="6" l="1"/>
  <c r="B375" i="6"/>
  <c r="D373" i="6"/>
  <c r="F371" i="6"/>
  <c r="A370" i="6"/>
  <c r="C368" i="6"/>
  <c r="E366" i="6"/>
  <c r="G364" i="6"/>
  <c r="B363" i="6"/>
  <c r="D361" i="6"/>
  <c r="F359" i="6"/>
  <c r="A358" i="6"/>
  <c r="C356" i="6"/>
  <c r="E354" i="6"/>
  <c r="G352" i="6"/>
  <c r="B351" i="6"/>
  <c r="D349" i="6"/>
  <c r="F347" i="6"/>
  <c r="A346" i="6"/>
  <c r="C344" i="6"/>
  <c r="E342" i="6"/>
  <c r="G340" i="6"/>
  <c r="B339" i="6"/>
  <c r="D337" i="6"/>
  <c r="F335" i="6"/>
  <c r="A334" i="6"/>
  <c r="C332" i="6"/>
  <c r="E330" i="6"/>
  <c r="G328" i="6"/>
  <c r="B327" i="6"/>
  <c r="D325" i="6"/>
  <c r="F323" i="6"/>
  <c r="A322" i="6"/>
  <c r="C320" i="6"/>
  <c r="E318" i="6"/>
  <c r="G316" i="6"/>
  <c r="B315" i="6"/>
  <c r="D313" i="6"/>
  <c r="F311" i="6"/>
  <c r="A310" i="6"/>
  <c r="C308" i="6"/>
  <c r="E306" i="6"/>
  <c r="G304" i="6"/>
  <c r="B303" i="6"/>
  <c r="D301" i="6"/>
  <c r="F299" i="6"/>
  <c r="A298" i="6"/>
  <c r="C296" i="6"/>
  <c r="E294" i="6"/>
  <c r="G292" i="6"/>
  <c r="B291" i="6"/>
  <c r="D289" i="6"/>
  <c r="F287" i="6"/>
  <c r="A286" i="6"/>
  <c r="C284" i="6"/>
  <c r="E282" i="6"/>
  <c r="G280" i="6"/>
  <c r="B279" i="6"/>
  <c r="D277" i="6"/>
  <c r="F275" i="6"/>
  <c r="A274" i="6"/>
  <c r="C272" i="6"/>
  <c r="E270" i="6"/>
  <c r="G268" i="6"/>
  <c r="B267" i="6"/>
  <c r="D265" i="6"/>
  <c r="F263" i="6"/>
  <c r="A262" i="6"/>
  <c r="C260" i="6"/>
  <c r="E258" i="6"/>
  <c r="G256" i="6"/>
  <c r="B255" i="6"/>
  <c r="D253" i="6"/>
  <c r="F251" i="6"/>
  <c r="A250" i="6"/>
  <c r="C248" i="6"/>
  <c r="E246" i="6"/>
  <c r="F376" i="6"/>
  <c r="A375" i="6"/>
  <c r="C373" i="6"/>
  <c r="E371" i="6"/>
  <c r="G369" i="6"/>
  <c r="B368" i="6"/>
  <c r="D366" i="6"/>
  <c r="F364" i="6"/>
  <c r="A363" i="6"/>
  <c r="C361" i="6"/>
  <c r="E359" i="6"/>
  <c r="G357" i="6"/>
  <c r="B356" i="6"/>
  <c r="D354" i="6"/>
  <c r="F352" i="6"/>
  <c r="A351" i="6"/>
  <c r="C349" i="6"/>
  <c r="E347" i="6"/>
  <c r="G345" i="6"/>
  <c r="B344" i="6"/>
  <c r="D342" i="6"/>
  <c r="F340" i="6"/>
  <c r="A339" i="6"/>
  <c r="C337" i="6"/>
  <c r="E335" i="6"/>
  <c r="G333" i="6"/>
  <c r="B332" i="6"/>
  <c r="D330" i="6"/>
  <c r="F328" i="6"/>
  <c r="A327" i="6"/>
  <c r="C325" i="6"/>
  <c r="E323" i="6"/>
  <c r="G321" i="6"/>
  <c r="B320" i="6"/>
  <c r="D318" i="6"/>
  <c r="F316" i="6"/>
  <c r="A315" i="6"/>
  <c r="C313" i="6"/>
  <c r="E311" i="6"/>
  <c r="G309" i="6"/>
  <c r="B308" i="6"/>
  <c r="D306" i="6"/>
  <c r="F304" i="6"/>
  <c r="A303" i="6"/>
  <c r="C301" i="6"/>
  <c r="E299" i="6"/>
  <c r="G297" i="6"/>
  <c r="B296" i="6"/>
  <c r="D294" i="6"/>
  <c r="F292" i="6"/>
  <c r="A291" i="6"/>
  <c r="C289" i="6"/>
  <c r="E287" i="6"/>
  <c r="G285" i="6"/>
  <c r="B284" i="6"/>
  <c r="D282" i="6"/>
  <c r="F280" i="6"/>
  <c r="A279" i="6"/>
  <c r="C277" i="6"/>
  <c r="E275" i="6"/>
  <c r="G273" i="6"/>
  <c r="B272" i="6"/>
  <c r="D270" i="6"/>
  <c r="F268" i="6"/>
  <c r="A267" i="6"/>
  <c r="C265" i="6"/>
  <c r="E263" i="6"/>
  <c r="G261" i="6"/>
  <c r="B260" i="6"/>
  <c r="D258" i="6"/>
  <c r="F256" i="6"/>
  <c r="A255" i="6"/>
  <c r="C253" i="6"/>
  <c r="E251" i="6"/>
  <c r="G249" i="6"/>
  <c r="B248" i="6"/>
  <c r="E376" i="6"/>
  <c r="G374" i="6"/>
  <c r="B373" i="6"/>
  <c r="D371" i="6"/>
  <c r="F369" i="6"/>
  <c r="A368" i="6"/>
  <c r="C366" i="6"/>
  <c r="E364" i="6"/>
  <c r="G362" i="6"/>
  <c r="B361" i="6"/>
  <c r="D359" i="6"/>
  <c r="F357" i="6"/>
  <c r="A356" i="6"/>
  <c r="C354" i="6"/>
  <c r="E352" i="6"/>
  <c r="G350" i="6"/>
  <c r="B349" i="6"/>
  <c r="D347" i="6"/>
  <c r="F345" i="6"/>
  <c r="A344" i="6"/>
  <c r="C342" i="6"/>
  <c r="E340" i="6"/>
  <c r="G338" i="6"/>
  <c r="B337" i="6"/>
  <c r="D335" i="6"/>
  <c r="F333" i="6"/>
  <c r="A332" i="6"/>
  <c r="C330" i="6"/>
  <c r="E328" i="6"/>
  <c r="G326" i="6"/>
  <c r="B325" i="6"/>
  <c r="D323" i="6"/>
  <c r="F321" i="6"/>
  <c r="A320" i="6"/>
  <c r="C318" i="6"/>
  <c r="E316" i="6"/>
  <c r="G314" i="6"/>
  <c r="B313" i="6"/>
  <c r="D311" i="6"/>
  <c r="F309" i="6"/>
  <c r="A308" i="6"/>
  <c r="C306" i="6"/>
  <c r="E304" i="6"/>
  <c r="G302" i="6"/>
  <c r="B301" i="6"/>
  <c r="D299" i="6"/>
  <c r="F297" i="6"/>
  <c r="A296" i="6"/>
  <c r="C294" i="6"/>
  <c r="E292" i="6"/>
  <c r="G290" i="6"/>
  <c r="B289" i="6"/>
  <c r="D287" i="6"/>
  <c r="F285" i="6"/>
  <c r="A284" i="6"/>
  <c r="C282" i="6"/>
  <c r="E280" i="6"/>
  <c r="G278" i="6"/>
  <c r="B277" i="6"/>
  <c r="D275" i="6"/>
  <c r="F273" i="6"/>
  <c r="A272" i="6"/>
  <c r="C270" i="6"/>
  <c r="E268" i="6"/>
  <c r="G266" i="6"/>
  <c r="B265" i="6"/>
  <c r="D263" i="6"/>
  <c r="F261" i="6"/>
  <c r="A260" i="6"/>
  <c r="C258" i="6"/>
  <c r="E256" i="6"/>
  <c r="G254" i="6"/>
  <c r="B253" i="6"/>
  <c r="D251" i="6"/>
  <c r="F249" i="6"/>
  <c r="A248" i="6"/>
  <c r="B376" i="6"/>
  <c r="D374" i="6"/>
  <c r="F372" i="6"/>
  <c r="A371" i="6"/>
  <c r="C369" i="6"/>
  <c r="E367" i="6"/>
  <c r="G365" i="6"/>
  <c r="B364" i="6"/>
  <c r="D362" i="6"/>
  <c r="F360" i="6"/>
  <c r="A359" i="6"/>
  <c r="C357" i="6"/>
  <c r="E355" i="6"/>
  <c r="G353" i="6"/>
  <c r="B352" i="6"/>
  <c r="D350" i="6"/>
  <c r="F348" i="6"/>
  <c r="A347" i="6"/>
  <c r="C345" i="6"/>
  <c r="E343" i="6"/>
  <c r="G341" i="6"/>
  <c r="B340" i="6"/>
  <c r="D338" i="6"/>
  <c r="F336" i="6"/>
  <c r="A335" i="6"/>
  <c r="C333" i="6"/>
  <c r="E331" i="6"/>
  <c r="G329" i="6"/>
  <c r="B328" i="6"/>
  <c r="D326" i="6"/>
  <c r="F324" i="6"/>
  <c r="A323" i="6"/>
  <c r="C321" i="6"/>
  <c r="E319" i="6"/>
  <c r="G317" i="6"/>
  <c r="B316" i="6"/>
  <c r="D314" i="6"/>
  <c r="F312" i="6"/>
  <c r="A311" i="6"/>
  <c r="C309" i="6"/>
  <c r="E307" i="6"/>
  <c r="G305" i="6"/>
  <c r="B304" i="6"/>
  <c r="D302" i="6"/>
  <c r="F300" i="6"/>
  <c r="A299" i="6"/>
  <c r="C297" i="6"/>
  <c r="E295" i="6"/>
  <c r="G293" i="6"/>
  <c r="B292" i="6"/>
  <c r="D290" i="6"/>
  <c r="F288" i="6"/>
  <c r="A287" i="6"/>
  <c r="C285" i="6"/>
  <c r="E283" i="6"/>
  <c r="G281" i="6"/>
  <c r="B280" i="6"/>
  <c r="D278" i="6"/>
  <c r="F276" i="6"/>
  <c r="A275" i="6"/>
  <c r="C273" i="6"/>
  <c r="E271" i="6"/>
  <c r="G269" i="6"/>
  <c r="B268" i="6"/>
  <c r="D266" i="6"/>
  <c r="F264" i="6"/>
  <c r="A263" i="6"/>
  <c r="C261" i="6"/>
  <c r="E259" i="6"/>
  <c r="G257" i="6"/>
  <c r="B256" i="6"/>
  <c r="D254" i="6"/>
  <c r="F252" i="6"/>
  <c r="A251" i="6"/>
  <c r="C249" i="6"/>
  <c r="E247" i="6"/>
  <c r="G245" i="6"/>
  <c r="B244" i="6"/>
  <c r="D242" i="6"/>
  <c r="F240" i="6"/>
  <c r="A239" i="6"/>
  <c r="C237" i="6"/>
  <c r="E235" i="6"/>
  <c r="G233" i="6"/>
  <c r="B232" i="6"/>
  <c r="A376" i="6"/>
  <c r="C374" i="6"/>
  <c r="E372" i="6"/>
  <c r="G370" i="6"/>
  <c r="B369" i="6"/>
  <c r="D367" i="6"/>
  <c r="F365" i="6"/>
  <c r="A364" i="6"/>
  <c r="C362" i="6"/>
  <c r="E360" i="6"/>
  <c r="G358" i="6"/>
  <c r="B357" i="6"/>
  <c r="D355" i="6"/>
  <c r="F353" i="6"/>
  <c r="A352" i="6"/>
  <c r="C350" i="6"/>
  <c r="E348" i="6"/>
  <c r="G346" i="6"/>
  <c r="B345" i="6"/>
  <c r="D343" i="6"/>
  <c r="F341" i="6"/>
  <c r="A340" i="6"/>
  <c r="C338" i="6"/>
  <c r="E336" i="6"/>
  <c r="G334" i="6"/>
  <c r="B333" i="6"/>
  <c r="D331" i="6"/>
  <c r="F329" i="6"/>
  <c r="A328" i="6"/>
  <c r="C326" i="6"/>
  <c r="E324" i="6"/>
  <c r="G322" i="6"/>
  <c r="B321" i="6"/>
  <c r="D319" i="6"/>
  <c r="F317" i="6"/>
  <c r="A316" i="6"/>
  <c r="C314" i="6"/>
  <c r="E312" i="6"/>
  <c r="G310" i="6"/>
  <c r="B309" i="6"/>
  <c r="D307" i="6"/>
  <c r="F305" i="6"/>
  <c r="A304" i="6"/>
  <c r="C302" i="6"/>
  <c r="E300" i="6"/>
  <c r="G298" i="6"/>
  <c r="B297" i="6"/>
  <c r="D295" i="6"/>
  <c r="F293" i="6"/>
  <c r="A292" i="6"/>
  <c r="C290" i="6"/>
  <c r="E288" i="6"/>
  <c r="G286" i="6"/>
  <c r="B285" i="6"/>
  <c r="D283" i="6"/>
  <c r="F281" i="6"/>
  <c r="A280" i="6"/>
  <c r="C278" i="6"/>
  <c r="E276" i="6"/>
  <c r="G274" i="6"/>
  <c r="B273" i="6"/>
  <c r="D271" i="6"/>
  <c r="F269" i="6"/>
  <c r="A268" i="6"/>
  <c r="C266" i="6"/>
  <c r="E264" i="6"/>
  <c r="G262" i="6"/>
  <c r="B261" i="6"/>
  <c r="G375" i="6"/>
  <c r="B374" i="6"/>
  <c r="D372" i="6"/>
  <c r="F370" i="6"/>
  <c r="A369" i="6"/>
  <c r="C367" i="6"/>
  <c r="E365" i="6"/>
  <c r="G363" i="6"/>
  <c r="B362" i="6"/>
  <c r="D360" i="6"/>
  <c r="F358" i="6"/>
  <c r="A357" i="6"/>
  <c r="C355" i="6"/>
  <c r="E353" i="6"/>
  <c r="G351" i="6"/>
  <c r="B350" i="6"/>
  <c r="D348" i="6"/>
  <c r="F346" i="6"/>
  <c r="A345" i="6"/>
  <c r="C343" i="6"/>
  <c r="E341" i="6"/>
  <c r="G339" i="6"/>
  <c r="B338" i="6"/>
  <c r="D336" i="6"/>
  <c r="F334" i="6"/>
  <c r="A333" i="6"/>
  <c r="C331" i="6"/>
  <c r="E329" i="6"/>
  <c r="G327" i="6"/>
  <c r="B326" i="6"/>
  <c r="D324" i="6"/>
  <c r="F322" i="6"/>
  <c r="A321" i="6"/>
  <c r="C319" i="6"/>
  <c r="E317" i="6"/>
  <c r="G315" i="6"/>
  <c r="B314" i="6"/>
  <c r="D312" i="6"/>
  <c r="F310" i="6"/>
  <c r="A309" i="6"/>
  <c r="C307" i="6"/>
  <c r="E305" i="6"/>
  <c r="G303" i="6"/>
  <c r="B302" i="6"/>
  <c r="D300" i="6"/>
  <c r="F298" i="6"/>
  <c r="A297" i="6"/>
  <c r="C295" i="6"/>
  <c r="E293" i="6"/>
  <c r="G291" i="6"/>
  <c r="B290" i="6"/>
  <c r="D288" i="6"/>
  <c r="F286" i="6"/>
  <c r="A285" i="6"/>
  <c r="C283" i="6"/>
  <c r="E281" i="6"/>
  <c r="G279" i="6"/>
  <c r="B278" i="6"/>
  <c r="D276" i="6"/>
  <c r="F274" i="6"/>
  <c r="A273" i="6"/>
  <c r="C271" i="6"/>
  <c r="E269" i="6"/>
  <c r="G267" i="6"/>
  <c r="B266" i="6"/>
  <c r="D264" i="6"/>
  <c r="F262" i="6"/>
  <c r="A261" i="6"/>
  <c r="C259" i="6"/>
  <c r="E257" i="6"/>
  <c r="G255" i="6"/>
  <c r="B254" i="6"/>
  <c r="D252" i="6"/>
  <c r="F250" i="6"/>
  <c r="A249" i="6"/>
  <c r="C247" i="6"/>
  <c r="F375" i="6"/>
  <c r="A374" i="6"/>
  <c r="C372" i="6"/>
  <c r="E370" i="6"/>
  <c r="G368" i="6"/>
  <c r="B367" i="6"/>
  <c r="D365" i="6"/>
  <c r="F363" i="6"/>
  <c r="A362" i="6"/>
  <c r="C360" i="6"/>
  <c r="E358" i="6"/>
  <c r="G356" i="6"/>
  <c r="B355" i="6"/>
  <c r="D353" i="6"/>
  <c r="F351" i="6"/>
  <c r="A350" i="6"/>
  <c r="C348" i="6"/>
  <c r="E346" i="6"/>
  <c r="G344" i="6"/>
  <c r="B343" i="6"/>
  <c r="D341" i="6"/>
  <c r="F339" i="6"/>
  <c r="A338" i="6"/>
  <c r="C336" i="6"/>
  <c r="E334" i="6"/>
  <c r="G332" i="6"/>
  <c r="B331" i="6"/>
  <c r="D329" i="6"/>
  <c r="F327" i="6"/>
  <c r="A326" i="6"/>
  <c r="C324" i="6"/>
  <c r="E322" i="6"/>
  <c r="G320" i="6"/>
  <c r="B319" i="6"/>
  <c r="D317" i="6"/>
  <c r="F315" i="6"/>
  <c r="A314" i="6"/>
  <c r="C312" i="6"/>
  <c r="E310" i="6"/>
  <c r="G308" i="6"/>
  <c r="B307" i="6"/>
  <c r="D305" i="6"/>
  <c r="F303" i="6"/>
  <c r="A302" i="6"/>
  <c r="C300" i="6"/>
  <c r="E298" i="6"/>
  <c r="G296" i="6"/>
  <c r="B295" i="6"/>
  <c r="D293" i="6"/>
  <c r="F291" i="6"/>
  <c r="A290" i="6"/>
  <c r="C288" i="6"/>
  <c r="E286" i="6"/>
  <c r="G284" i="6"/>
  <c r="B283" i="6"/>
  <c r="D281" i="6"/>
  <c r="F279" i="6"/>
  <c r="A278" i="6"/>
  <c r="E375" i="6"/>
  <c r="G373" i="6"/>
  <c r="B372" i="6"/>
  <c r="D370" i="6"/>
  <c r="F368" i="6"/>
  <c r="A367" i="6"/>
  <c r="C365" i="6"/>
  <c r="E363" i="6"/>
  <c r="G361" i="6"/>
  <c r="B360" i="6"/>
  <c r="D358" i="6"/>
  <c r="F356" i="6"/>
  <c r="A355" i="6"/>
  <c r="C353" i="6"/>
  <c r="E351" i="6"/>
  <c r="G349" i="6"/>
  <c r="B348" i="6"/>
  <c r="D346" i="6"/>
  <c r="F344" i="6"/>
  <c r="A343" i="6"/>
  <c r="C341" i="6"/>
  <c r="E339" i="6"/>
  <c r="G337" i="6"/>
  <c r="B336" i="6"/>
  <c r="D334" i="6"/>
  <c r="F332" i="6"/>
  <c r="A331" i="6"/>
  <c r="C329" i="6"/>
  <c r="E327" i="6"/>
  <c r="G325" i="6"/>
  <c r="B324" i="6"/>
  <c r="D322" i="6"/>
  <c r="F320" i="6"/>
  <c r="A319" i="6"/>
  <c r="C317" i="6"/>
  <c r="E315" i="6"/>
  <c r="G313" i="6"/>
  <c r="B312" i="6"/>
  <c r="D310" i="6"/>
  <c r="F308" i="6"/>
  <c r="A307" i="6"/>
  <c r="C305" i="6"/>
  <c r="E303" i="6"/>
  <c r="G301" i="6"/>
  <c r="B300" i="6"/>
  <c r="D298" i="6"/>
  <c r="F296" i="6"/>
  <c r="A295" i="6"/>
  <c r="C293" i="6"/>
  <c r="E291" i="6"/>
  <c r="G289" i="6"/>
  <c r="B288" i="6"/>
  <c r="D286" i="6"/>
  <c r="F284" i="6"/>
  <c r="A283" i="6"/>
  <c r="C281" i="6"/>
  <c r="E279" i="6"/>
  <c r="G277" i="6"/>
  <c r="B276" i="6"/>
  <c r="D274" i="6"/>
  <c r="F272" i="6"/>
  <c r="A271" i="6"/>
  <c r="C269" i="6"/>
  <c r="E267" i="6"/>
  <c r="G265" i="6"/>
  <c r="B264" i="6"/>
  <c r="D262" i="6"/>
  <c r="F260" i="6"/>
  <c r="A259" i="6"/>
  <c r="C257" i="6"/>
  <c r="E255" i="6"/>
  <c r="G253" i="6"/>
  <c r="B252" i="6"/>
  <c r="D250" i="6"/>
  <c r="F248" i="6"/>
  <c r="A247" i="6"/>
  <c r="C245" i="6"/>
  <c r="E243" i="6"/>
  <c r="G241" i="6"/>
  <c r="B240" i="6"/>
  <c r="D238" i="6"/>
  <c r="F236" i="6"/>
  <c r="A235" i="6"/>
  <c r="C233" i="6"/>
  <c r="E231" i="6"/>
  <c r="D376" i="6"/>
  <c r="C371" i="6"/>
  <c r="B366" i="6"/>
  <c r="A361" i="6"/>
  <c r="G355" i="6"/>
  <c r="F350" i="6"/>
  <c r="E345" i="6"/>
  <c r="D340" i="6"/>
  <c r="C335" i="6"/>
  <c r="B330" i="6"/>
  <c r="A325" i="6"/>
  <c r="G319" i="6"/>
  <c r="F314" i="6"/>
  <c r="E309" i="6"/>
  <c r="D304" i="6"/>
  <c r="C299" i="6"/>
  <c r="B294" i="6"/>
  <c r="A289" i="6"/>
  <c r="G283" i="6"/>
  <c r="F278" i="6"/>
  <c r="C274" i="6"/>
  <c r="B270" i="6"/>
  <c r="A266" i="6"/>
  <c r="B262" i="6"/>
  <c r="B258" i="6"/>
  <c r="F254" i="6"/>
  <c r="C251" i="6"/>
  <c r="G247" i="6"/>
  <c r="D245" i="6"/>
  <c r="C243" i="6"/>
  <c r="C241" i="6"/>
  <c r="C239" i="6"/>
  <c r="B237" i="6"/>
  <c r="B235" i="6"/>
  <c r="A233" i="6"/>
  <c r="A231" i="6"/>
  <c r="C229" i="6"/>
  <c r="E227" i="6"/>
  <c r="G225" i="6"/>
  <c r="B224" i="6"/>
  <c r="D222" i="6"/>
  <c r="F220" i="6"/>
  <c r="A219" i="6"/>
  <c r="C217" i="6"/>
  <c r="E215" i="6"/>
  <c r="G213" i="6"/>
  <c r="B212" i="6"/>
  <c r="D210" i="6"/>
  <c r="F208" i="6"/>
  <c r="A207" i="6"/>
  <c r="C205" i="6"/>
  <c r="E203" i="6"/>
  <c r="G201" i="6"/>
  <c r="B200" i="6"/>
  <c r="D198" i="6"/>
  <c r="F196" i="6"/>
  <c r="A195" i="6"/>
  <c r="C193" i="6"/>
  <c r="E191" i="6"/>
  <c r="G189" i="6"/>
  <c r="B188" i="6"/>
  <c r="D186" i="6"/>
  <c r="F184" i="6"/>
  <c r="A183" i="6"/>
  <c r="C181" i="6"/>
  <c r="E179" i="6"/>
  <c r="G177" i="6"/>
  <c r="B176" i="6"/>
  <c r="D174" i="6"/>
  <c r="F172" i="6"/>
  <c r="A171" i="6"/>
  <c r="C169" i="6"/>
  <c r="E167" i="6"/>
  <c r="G165" i="6"/>
  <c r="B164" i="6"/>
  <c r="D162" i="6"/>
  <c r="F160" i="6"/>
  <c r="A159" i="6"/>
  <c r="C157" i="6"/>
  <c r="E155" i="6"/>
  <c r="G153" i="6"/>
  <c r="C376" i="6"/>
  <c r="B371" i="6"/>
  <c r="A366" i="6"/>
  <c r="G360" i="6"/>
  <c r="F355" i="6"/>
  <c r="E350" i="6"/>
  <c r="D345" i="6"/>
  <c r="C340" i="6"/>
  <c r="B335" i="6"/>
  <c r="A330" i="6"/>
  <c r="G324" i="6"/>
  <c r="F319" i="6"/>
  <c r="E314" i="6"/>
  <c r="D309" i="6"/>
  <c r="C304" i="6"/>
  <c r="B299" i="6"/>
  <c r="A294" i="6"/>
  <c r="G288" i="6"/>
  <c r="F283" i="6"/>
  <c r="E278" i="6"/>
  <c r="B274" i="6"/>
  <c r="A270" i="6"/>
  <c r="F265" i="6"/>
  <c r="E261" i="6"/>
  <c r="A258" i="6"/>
  <c r="E254" i="6"/>
  <c r="B251" i="6"/>
  <c r="F247" i="6"/>
  <c r="B245" i="6"/>
  <c r="B243" i="6"/>
  <c r="B241" i="6"/>
  <c r="B239" i="6"/>
  <c r="A237" i="6"/>
  <c r="G234" i="6"/>
  <c r="G232" i="6"/>
  <c r="G230" i="6"/>
  <c r="B229" i="6"/>
  <c r="D227" i="6"/>
  <c r="F225" i="6"/>
  <c r="A224" i="6"/>
  <c r="C222" i="6"/>
  <c r="E220" i="6"/>
  <c r="G218" i="6"/>
  <c r="B217" i="6"/>
  <c r="D215" i="6"/>
  <c r="F213" i="6"/>
  <c r="A212" i="6"/>
  <c r="C210" i="6"/>
  <c r="E208" i="6"/>
  <c r="G206" i="6"/>
  <c r="B205" i="6"/>
  <c r="D203" i="6"/>
  <c r="F201" i="6"/>
  <c r="A200" i="6"/>
  <c r="C198" i="6"/>
  <c r="E196" i="6"/>
  <c r="G194" i="6"/>
  <c r="B193" i="6"/>
  <c r="D191" i="6"/>
  <c r="F189" i="6"/>
  <c r="A188" i="6"/>
  <c r="C186" i="6"/>
  <c r="E184" i="6"/>
  <c r="G182" i="6"/>
  <c r="B181" i="6"/>
  <c r="D179" i="6"/>
  <c r="F177" i="6"/>
  <c r="A176" i="6"/>
  <c r="C174" i="6"/>
  <c r="E172" i="6"/>
  <c r="G170" i="6"/>
  <c r="B169" i="6"/>
  <c r="D167" i="6"/>
  <c r="F165" i="6"/>
  <c r="A164" i="6"/>
  <c r="C162" i="6"/>
  <c r="E160" i="6"/>
  <c r="G158" i="6"/>
  <c r="B157" i="6"/>
  <c r="D375" i="6"/>
  <c r="C370" i="6"/>
  <c r="B365" i="6"/>
  <c r="A360" i="6"/>
  <c r="G354" i="6"/>
  <c r="F349" i="6"/>
  <c r="E344" i="6"/>
  <c r="D339" i="6"/>
  <c r="C334" i="6"/>
  <c r="B329" i="6"/>
  <c r="A324" i="6"/>
  <c r="G318" i="6"/>
  <c r="F313" i="6"/>
  <c r="E308" i="6"/>
  <c r="D303" i="6"/>
  <c r="C298" i="6"/>
  <c r="B293" i="6"/>
  <c r="A288" i="6"/>
  <c r="G282" i="6"/>
  <c r="F277" i="6"/>
  <c r="E273" i="6"/>
  <c r="D269" i="6"/>
  <c r="E265" i="6"/>
  <c r="D261" i="6"/>
  <c r="F257" i="6"/>
  <c r="C254" i="6"/>
  <c r="G250" i="6"/>
  <c r="D247" i="6"/>
  <c r="A245" i="6"/>
  <c r="A243" i="6"/>
  <c r="A241" i="6"/>
  <c r="G238" i="6"/>
  <c r="G236" i="6"/>
  <c r="F234" i="6"/>
  <c r="F232" i="6"/>
  <c r="F230" i="6"/>
  <c r="A229" i="6"/>
  <c r="C227" i="6"/>
  <c r="E225" i="6"/>
  <c r="G223" i="6"/>
  <c r="B222" i="6"/>
  <c r="D220" i="6"/>
  <c r="F218" i="6"/>
  <c r="A217" i="6"/>
  <c r="C215" i="6"/>
  <c r="E213" i="6"/>
  <c r="G211" i="6"/>
  <c r="B210" i="6"/>
  <c r="D208" i="6"/>
  <c r="F206" i="6"/>
  <c r="A205" i="6"/>
  <c r="C203" i="6"/>
  <c r="E201" i="6"/>
  <c r="G199" i="6"/>
  <c r="B198" i="6"/>
  <c r="D196" i="6"/>
  <c r="F194" i="6"/>
  <c r="A193" i="6"/>
  <c r="C191" i="6"/>
  <c r="E189" i="6"/>
  <c r="G187" i="6"/>
  <c r="B186" i="6"/>
  <c r="D184" i="6"/>
  <c r="F182" i="6"/>
  <c r="A181" i="6"/>
  <c r="C179" i="6"/>
  <c r="E177" i="6"/>
  <c r="G175" i="6"/>
  <c r="B174" i="6"/>
  <c r="D172" i="6"/>
  <c r="F170" i="6"/>
  <c r="A169" i="6"/>
  <c r="C167" i="6"/>
  <c r="E165" i="6"/>
  <c r="G163" i="6"/>
  <c r="B162" i="6"/>
  <c r="D160" i="6"/>
  <c r="F158" i="6"/>
  <c r="A157" i="6"/>
  <c r="C155" i="6"/>
  <c r="E153" i="6"/>
  <c r="E374" i="6"/>
  <c r="D369" i="6"/>
  <c r="C364" i="6"/>
  <c r="B359" i="6"/>
  <c r="A354" i="6"/>
  <c r="G348" i="6"/>
  <c r="F343" i="6"/>
  <c r="E338" i="6"/>
  <c r="D333" i="6"/>
  <c r="C328" i="6"/>
  <c r="B323" i="6"/>
  <c r="A318" i="6"/>
  <c r="G312" i="6"/>
  <c r="F307" i="6"/>
  <c r="E302" i="6"/>
  <c r="D297" i="6"/>
  <c r="C292" i="6"/>
  <c r="B287" i="6"/>
  <c r="A282" i="6"/>
  <c r="G276" i="6"/>
  <c r="E272" i="6"/>
  <c r="D268" i="6"/>
  <c r="C264" i="6"/>
  <c r="D260" i="6"/>
  <c r="A257" i="6"/>
  <c r="E253" i="6"/>
  <c r="B250" i="6"/>
  <c r="F246" i="6"/>
  <c r="E244" i="6"/>
  <c r="E242" i="6"/>
  <c r="D240" i="6"/>
  <c r="C238" i="6"/>
  <c r="C236" i="6"/>
  <c r="C234" i="6"/>
  <c r="C232" i="6"/>
  <c r="C230" i="6"/>
  <c r="E228" i="6"/>
  <c r="G226" i="6"/>
  <c r="B225" i="6"/>
  <c r="D223" i="6"/>
  <c r="F221" i="6"/>
  <c r="A220" i="6"/>
  <c r="C218" i="6"/>
  <c r="E216" i="6"/>
  <c r="G214" i="6"/>
  <c r="B213" i="6"/>
  <c r="D211" i="6"/>
  <c r="F209" i="6"/>
  <c r="A208" i="6"/>
  <c r="C206" i="6"/>
  <c r="E204" i="6"/>
  <c r="G202" i="6"/>
  <c r="B201" i="6"/>
  <c r="D199" i="6"/>
  <c r="F197" i="6"/>
  <c r="A196" i="6"/>
  <c r="C194" i="6"/>
  <c r="E192" i="6"/>
  <c r="G190" i="6"/>
  <c r="B189" i="6"/>
  <c r="D187" i="6"/>
  <c r="F185" i="6"/>
  <c r="A184" i="6"/>
  <c r="C182" i="6"/>
  <c r="E180" i="6"/>
  <c r="G178" i="6"/>
  <c r="B177" i="6"/>
  <c r="D175" i="6"/>
  <c r="F173" i="6"/>
  <c r="A172" i="6"/>
  <c r="C170" i="6"/>
  <c r="E168" i="6"/>
  <c r="G166" i="6"/>
  <c r="B165" i="6"/>
  <c r="D163" i="6"/>
  <c r="F161" i="6"/>
  <c r="A160" i="6"/>
  <c r="C158" i="6"/>
  <c r="E156" i="6"/>
  <c r="G154" i="6"/>
  <c r="B153" i="6"/>
  <c r="D151" i="6"/>
  <c r="F149" i="6"/>
  <c r="A148" i="6"/>
  <c r="C146" i="6"/>
  <c r="F373" i="6"/>
  <c r="E368" i="6"/>
  <c r="D363" i="6"/>
  <c r="C358" i="6"/>
  <c r="B353" i="6"/>
  <c r="A348" i="6"/>
  <c r="G342" i="6"/>
  <c r="F337" i="6"/>
  <c r="E332" i="6"/>
  <c r="D327" i="6"/>
  <c r="C322" i="6"/>
  <c r="B317" i="6"/>
  <c r="A312" i="6"/>
  <c r="G306" i="6"/>
  <c r="F301" i="6"/>
  <c r="E296" i="6"/>
  <c r="D291" i="6"/>
  <c r="C286" i="6"/>
  <c r="B281" i="6"/>
  <c r="C276" i="6"/>
  <c r="D272" i="6"/>
  <c r="C268" i="6"/>
  <c r="A264" i="6"/>
  <c r="G259" i="6"/>
  <c r="D256" i="6"/>
  <c r="A253" i="6"/>
  <c r="E249" i="6"/>
  <c r="D246" i="6"/>
  <c r="D244" i="6"/>
  <c r="C242" i="6"/>
  <c r="C240" i="6"/>
  <c r="B238" i="6"/>
  <c r="B236" i="6"/>
  <c r="B234" i="6"/>
  <c r="A232" i="6"/>
  <c r="B230" i="6"/>
  <c r="D228" i="6"/>
  <c r="F226" i="6"/>
  <c r="A225" i="6"/>
  <c r="C223" i="6"/>
  <c r="E221" i="6"/>
  <c r="G219" i="6"/>
  <c r="B218" i="6"/>
  <c r="D216" i="6"/>
  <c r="F214" i="6"/>
  <c r="A213" i="6"/>
  <c r="C211" i="6"/>
  <c r="E209" i="6"/>
  <c r="G207" i="6"/>
  <c r="B206" i="6"/>
  <c r="D204" i="6"/>
  <c r="F202" i="6"/>
  <c r="A201" i="6"/>
  <c r="C199" i="6"/>
  <c r="E197" i="6"/>
  <c r="G195" i="6"/>
  <c r="B194" i="6"/>
  <c r="D192" i="6"/>
  <c r="F190" i="6"/>
  <c r="A189" i="6"/>
  <c r="C187" i="6"/>
  <c r="E185" i="6"/>
  <c r="G183" i="6"/>
  <c r="B182" i="6"/>
  <c r="D180" i="6"/>
  <c r="E373" i="6"/>
  <c r="D368" i="6"/>
  <c r="C363" i="6"/>
  <c r="B358" i="6"/>
  <c r="A353" i="6"/>
  <c r="G347" i="6"/>
  <c r="F342" i="6"/>
  <c r="E337" i="6"/>
  <c r="D332" i="6"/>
  <c r="C327" i="6"/>
  <c r="B322" i="6"/>
  <c r="A317" i="6"/>
  <c r="G311" i="6"/>
  <c r="F306" i="6"/>
  <c r="E301" i="6"/>
  <c r="D296" i="6"/>
  <c r="C291" i="6"/>
  <c r="B286" i="6"/>
  <c r="A281" i="6"/>
  <c r="A276" i="6"/>
  <c r="G271" i="6"/>
  <c r="F267" i="6"/>
  <c r="G263" i="6"/>
  <c r="F259" i="6"/>
  <c r="C256" i="6"/>
  <c r="G252" i="6"/>
  <c r="D249" i="6"/>
  <c r="C246" i="6"/>
  <c r="C244" i="6"/>
  <c r="B242" i="6"/>
  <c r="A240" i="6"/>
  <c r="A238" i="6"/>
  <c r="A236" i="6"/>
  <c r="A234" i="6"/>
  <c r="G231" i="6"/>
  <c r="A230" i="6"/>
  <c r="C228" i="6"/>
  <c r="E226" i="6"/>
  <c r="G224" i="6"/>
  <c r="B223" i="6"/>
  <c r="D221" i="6"/>
  <c r="F219" i="6"/>
  <c r="A218" i="6"/>
  <c r="C216" i="6"/>
  <c r="E214" i="6"/>
  <c r="G212" i="6"/>
  <c r="B211" i="6"/>
  <c r="D209" i="6"/>
  <c r="F207" i="6"/>
  <c r="A206" i="6"/>
  <c r="C204" i="6"/>
  <c r="E202" i="6"/>
  <c r="G200" i="6"/>
  <c r="B199" i="6"/>
  <c r="D197" i="6"/>
  <c r="F195" i="6"/>
  <c r="A194" i="6"/>
  <c r="C192" i="6"/>
  <c r="E190" i="6"/>
  <c r="G188" i="6"/>
  <c r="B187" i="6"/>
  <c r="D185" i="6"/>
  <c r="F183" i="6"/>
  <c r="A182" i="6"/>
  <c r="C180" i="6"/>
  <c r="E178" i="6"/>
  <c r="G176" i="6"/>
  <c r="B175" i="6"/>
  <c r="D173" i="6"/>
  <c r="F171" i="6"/>
  <c r="A170" i="6"/>
  <c r="C168" i="6"/>
  <c r="E166" i="6"/>
  <c r="G164" i="6"/>
  <c r="B163" i="6"/>
  <c r="D161" i="6"/>
  <c r="F159" i="6"/>
  <c r="A373" i="6"/>
  <c r="G367" i="6"/>
  <c r="F362" i="6"/>
  <c r="E357" i="6"/>
  <c r="D352" i="6"/>
  <c r="C347" i="6"/>
  <c r="B342" i="6"/>
  <c r="A337" i="6"/>
  <c r="G331" i="6"/>
  <c r="F326" i="6"/>
  <c r="E321" i="6"/>
  <c r="D316" i="6"/>
  <c r="C311" i="6"/>
  <c r="B306" i="6"/>
  <c r="A301" i="6"/>
  <c r="G295" i="6"/>
  <c r="F290" i="6"/>
  <c r="E285" i="6"/>
  <c r="D280" i="6"/>
  <c r="G275" i="6"/>
  <c r="F271" i="6"/>
  <c r="D267" i="6"/>
  <c r="C263" i="6"/>
  <c r="D259" i="6"/>
  <c r="A256" i="6"/>
  <c r="E252" i="6"/>
  <c r="B249" i="6"/>
  <c r="B246" i="6"/>
  <c r="A244" i="6"/>
  <c r="A242" i="6"/>
  <c r="G239" i="6"/>
  <c r="G237" i="6"/>
  <c r="G235" i="6"/>
  <c r="F233" i="6"/>
  <c r="F231" i="6"/>
  <c r="G229" i="6"/>
  <c r="B228" i="6"/>
  <c r="D226" i="6"/>
  <c r="F224" i="6"/>
  <c r="A223" i="6"/>
  <c r="C221" i="6"/>
  <c r="E219" i="6"/>
  <c r="G217" i="6"/>
  <c r="B216" i="6"/>
  <c r="D214" i="6"/>
  <c r="F212" i="6"/>
  <c r="A211" i="6"/>
  <c r="C209" i="6"/>
  <c r="E207" i="6"/>
  <c r="G205" i="6"/>
  <c r="B204" i="6"/>
  <c r="D202" i="6"/>
  <c r="F200" i="6"/>
  <c r="A199" i="6"/>
  <c r="C197" i="6"/>
  <c r="E195" i="6"/>
  <c r="G193" i="6"/>
  <c r="B192" i="6"/>
  <c r="D190" i="6"/>
  <c r="C375" i="6"/>
  <c r="E362" i="6"/>
  <c r="C351" i="6"/>
  <c r="F338" i="6"/>
  <c r="F325" i="6"/>
  <c r="E313" i="6"/>
  <c r="G300" i="6"/>
  <c r="E289" i="6"/>
  <c r="A277" i="6"/>
  <c r="F266" i="6"/>
  <c r="D257" i="6"/>
  <c r="G248" i="6"/>
  <c r="D243" i="6"/>
  <c r="E238" i="6"/>
  <c r="D233" i="6"/>
  <c r="G228" i="6"/>
  <c r="E224" i="6"/>
  <c r="G220" i="6"/>
  <c r="F216" i="6"/>
  <c r="D212" i="6"/>
  <c r="C208" i="6"/>
  <c r="A204" i="6"/>
  <c r="C200" i="6"/>
  <c r="B196" i="6"/>
  <c r="G191" i="6"/>
  <c r="C188" i="6"/>
  <c r="G184" i="6"/>
  <c r="D181" i="6"/>
  <c r="B178" i="6"/>
  <c r="A175" i="6"/>
  <c r="B172" i="6"/>
  <c r="D169" i="6"/>
  <c r="C166" i="6"/>
  <c r="C163" i="6"/>
  <c r="C160" i="6"/>
  <c r="F157" i="6"/>
  <c r="B155" i="6"/>
  <c r="G152" i="6"/>
  <c r="A151" i="6"/>
  <c r="B149" i="6"/>
  <c r="C147" i="6"/>
  <c r="D145" i="6"/>
  <c r="F143" i="6"/>
  <c r="A142" i="6"/>
  <c r="C140" i="6"/>
  <c r="E138" i="6"/>
  <c r="G136" i="6"/>
  <c r="B135" i="6"/>
  <c r="D133" i="6"/>
  <c r="F131" i="6"/>
  <c r="A130" i="6"/>
  <c r="C128" i="6"/>
  <c r="E126" i="6"/>
  <c r="G124" i="6"/>
  <c r="B123" i="6"/>
  <c r="D121" i="6"/>
  <c r="F119" i="6"/>
  <c r="A118" i="6"/>
  <c r="C116" i="6"/>
  <c r="E114" i="6"/>
  <c r="G112" i="6"/>
  <c r="B111" i="6"/>
  <c r="D109" i="6"/>
  <c r="F107" i="6"/>
  <c r="A106" i="6"/>
  <c r="C104" i="6"/>
  <c r="E102" i="6"/>
  <c r="G100" i="6"/>
  <c r="B99" i="6"/>
  <c r="D97" i="6"/>
  <c r="F95" i="6"/>
  <c r="A94" i="6"/>
  <c r="C92" i="6"/>
  <c r="E90" i="6"/>
  <c r="G88" i="6"/>
  <c r="B87" i="6"/>
  <c r="D85" i="6"/>
  <c r="F83" i="6"/>
  <c r="A82" i="6"/>
  <c r="F374" i="6"/>
  <c r="F361" i="6"/>
  <c r="E349" i="6"/>
  <c r="G336" i="6"/>
  <c r="E325" i="6"/>
  <c r="A313" i="6"/>
  <c r="A300" i="6"/>
  <c r="G287" i="6"/>
  <c r="C275" i="6"/>
  <c r="E266" i="6"/>
  <c r="B257" i="6"/>
  <c r="E248" i="6"/>
  <c r="G242" i="6"/>
  <c r="F237" i="6"/>
  <c r="B233" i="6"/>
  <c r="F228" i="6"/>
  <c r="D224" i="6"/>
  <c r="C220" i="6"/>
  <c r="A216" i="6"/>
  <c r="C212" i="6"/>
  <c r="B208" i="6"/>
  <c r="G203" i="6"/>
  <c r="F199" i="6"/>
  <c r="D195" i="6"/>
  <c r="F191" i="6"/>
  <c r="F187" i="6"/>
  <c r="C184" i="6"/>
  <c r="G180" i="6"/>
  <c r="A178" i="6"/>
  <c r="G174" i="6"/>
  <c r="G171" i="6"/>
  <c r="G168" i="6"/>
  <c r="B166" i="6"/>
  <c r="A163" i="6"/>
  <c r="B160" i="6"/>
  <c r="E157" i="6"/>
  <c r="A155" i="6"/>
  <c r="F152" i="6"/>
  <c r="G150" i="6"/>
  <c r="A149" i="6"/>
  <c r="B147" i="6"/>
  <c r="C145" i="6"/>
  <c r="E143" i="6"/>
  <c r="G141" i="6"/>
  <c r="B140" i="6"/>
  <c r="D138" i="6"/>
  <c r="F136" i="6"/>
  <c r="A135" i="6"/>
  <c r="C133" i="6"/>
  <c r="E131" i="6"/>
  <c r="G129" i="6"/>
  <c r="B128" i="6"/>
  <c r="D126" i="6"/>
  <c r="F124" i="6"/>
  <c r="A123" i="6"/>
  <c r="C121" i="6"/>
  <c r="E119" i="6"/>
  <c r="G117" i="6"/>
  <c r="B116" i="6"/>
  <c r="D114" i="6"/>
  <c r="F112" i="6"/>
  <c r="A111" i="6"/>
  <c r="C109" i="6"/>
  <c r="E107" i="6"/>
  <c r="G105" i="6"/>
  <c r="B104" i="6"/>
  <c r="D102" i="6"/>
  <c r="F100" i="6"/>
  <c r="A99" i="6"/>
  <c r="C97" i="6"/>
  <c r="E95" i="6"/>
  <c r="G93" i="6"/>
  <c r="B92" i="6"/>
  <c r="D90" i="6"/>
  <c r="F88" i="6"/>
  <c r="A87" i="6"/>
  <c r="C85" i="6"/>
  <c r="G372" i="6"/>
  <c r="E361" i="6"/>
  <c r="A349" i="6"/>
  <c r="A336" i="6"/>
  <c r="G323" i="6"/>
  <c r="B311" i="6"/>
  <c r="G299" i="6"/>
  <c r="C287" i="6"/>
  <c r="B275" i="6"/>
  <c r="A265" i="6"/>
  <c r="F255" i="6"/>
  <c r="D248" i="6"/>
  <c r="F242" i="6"/>
  <c r="E237" i="6"/>
  <c r="E232" i="6"/>
  <c r="A228" i="6"/>
  <c r="C224" i="6"/>
  <c r="B220" i="6"/>
  <c r="G215" i="6"/>
  <c r="F211" i="6"/>
  <c r="D207" i="6"/>
  <c r="F203" i="6"/>
  <c r="E199" i="6"/>
  <c r="C195" i="6"/>
  <c r="B191" i="6"/>
  <c r="E187" i="6"/>
  <c r="B184" i="6"/>
  <c r="F180" i="6"/>
  <c r="D177" i="6"/>
  <c r="F174" i="6"/>
  <c r="E171" i="6"/>
  <c r="F168" i="6"/>
  <c r="A166" i="6"/>
  <c r="G162" i="6"/>
  <c r="G159" i="6"/>
  <c r="D157" i="6"/>
  <c r="F154" i="6"/>
  <c r="E152" i="6"/>
  <c r="F150" i="6"/>
  <c r="G148" i="6"/>
  <c r="A147" i="6"/>
  <c r="B145" i="6"/>
  <c r="D143" i="6"/>
  <c r="F141" i="6"/>
  <c r="A140" i="6"/>
  <c r="C138" i="6"/>
  <c r="E136" i="6"/>
  <c r="G134" i="6"/>
  <c r="B133" i="6"/>
  <c r="D131" i="6"/>
  <c r="F129" i="6"/>
  <c r="A128" i="6"/>
  <c r="C126" i="6"/>
  <c r="E124" i="6"/>
  <c r="G122" i="6"/>
  <c r="B121" i="6"/>
  <c r="D119" i="6"/>
  <c r="F117" i="6"/>
  <c r="A116" i="6"/>
  <c r="C114" i="6"/>
  <c r="E112" i="6"/>
  <c r="G110" i="6"/>
  <c r="B109" i="6"/>
  <c r="D107" i="6"/>
  <c r="F105" i="6"/>
  <c r="A104" i="6"/>
  <c r="C102" i="6"/>
  <c r="E100" i="6"/>
  <c r="G98" i="6"/>
  <c r="B97" i="6"/>
  <c r="D95" i="6"/>
  <c r="F93" i="6"/>
  <c r="A92" i="6"/>
  <c r="C90" i="6"/>
  <c r="E88" i="6"/>
  <c r="G86" i="6"/>
  <c r="B85" i="6"/>
  <c r="D83" i="6"/>
  <c r="F81" i="6"/>
  <c r="A80" i="6"/>
  <c r="C78" i="6"/>
  <c r="E76" i="6"/>
  <c r="G74" i="6"/>
  <c r="B73" i="6"/>
  <c r="D71" i="6"/>
  <c r="B370" i="6"/>
  <c r="D357" i="6"/>
  <c r="B346" i="6"/>
  <c r="E333" i="6"/>
  <c r="E320" i="6"/>
  <c r="D308" i="6"/>
  <c r="F295" i="6"/>
  <c r="D284" i="6"/>
  <c r="G272" i="6"/>
  <c r="E262" i="6"/>
  <c r="A254" i="6"/>
  <c r="A246" i="6"/>
  <c r="D241" i="6"/>
  <c r="D236" i="6"/>
  <c r="C231" i="6"/>
  <c r="B227" i="6"/>
  <c r="G222" i="6"/>
  <c r="B219" i="6"/>
  <c r="A215" i="6"/>
  <c r="F210" i="6"/>
  <c r="E206" i="6"/>
  <c r="C202" i="6"/>
  <c r="E198" i="6"/>
  <c r="D194" i="6"/>
  <c r="B190" i="6"/>
  <c r="F186" i="6"/>
  <c r="C183" i="6"/>
  <c r="G179" i="6"/>
  <c r="F176" i="6"/>
  <c r="G173" i="6"/>
  <c r="B171" i="6"/>
  <c r="A168" i="6"/>
  <c r="A165" i="6"/>
  <c r="A162" i="6"/>
  <c r="C159" i="6"/>
  <c r="D156" i="6"/>
  <c r="C154" i="6"/>
  <c r="B152" i="6"/>
  <c r="C150" i="6"/>
  <c r="D148" i="6"/>
  <c r="E146" i="6"/>
  <c r="F144" i="6"/>
  <c r="A143" i="6"/>
  <c r="C141" i="6"/>
  <c r="E139" i="6"/>
  <c r="G137" i="6"/>
  <c r="B136" i="6"/>
  <c r="D134" i="6"/>
  <c r="F132" i="6"/>
  <c r="A131" i="6"/>
  <c r="C129" i="6"/>
  <c r="E127" i="6"/>
  <c r="G125" i="6"/>
  <c r="B124" i="6"/>
  <c r="D122" i="6"/>
  <c r="F120" i="6"/>
  <c r="A119" i="6"/>
  <c r="C117" i="6"/>
  <c r="E115" i="6"/>
  <c r="G113" i="6"/>
  <c r="B112" i="6"/>
  <c r="D110" i="6"/>
  <c r="F108" i="6"/>
  <c r="A107" i="6"/>
  <c r="C105" i="6"/>
  <c r="E103" i="6"/>
  <c r="G101" i="6"/>
  <c r="B100" i="6"/>
  <c r="D98" i="6"/>
  <c r="F96" i="6"/>
  <c r="A95" i="6"/>
  <c r="C93" i="6"/>
  <c r="E91" i="6"/>
  <c r="G89" i="6"/>
  <c r="B88" i="6"/>
  <c r="D86" i="6"/>
  <c r="F84" i="6"/>
  <c r="A83" i="6"/>
  <c r="C81" i="6"/>
  <c r="E79" i="6"/>
  <c r="G77" i="6"/>
  <c r="B76" i="6"/>
  <c r="D74" i="6"/>
  <c r="F72" i="6"/>
  <c r="A71" i="6"/>
  <c r="C69" i="6"/>
  <c r="E67" i="6"/>
  <c r="G65" i="6"/>
  <c r="B64" i="6"/>
  <c r="D62" i="6"/>
  <c r="E369" i="6"/>
  <c r="E356" i="6"/>
  <c r="D344" i="6"/>
  <c r="F331" i="6"/>
  <c r="D320" i="6"/>
  <c r="G307" i="6"/>
  <c r="G294" i="6"/>
  <c r="F282" i="6"/>
  <c r="B271" i="6"/>
  <c r="C262" i="6"/>
  <c r="F253" i="6"/>
  <c r="F245" i="6"/>
  <c r="G240" i="6"/>
  <c r="F235" i="6"/>
  <c r="B231" i="6"/>
  <c r="A227" i="6"/>
  <c r="F222" i="6"/>
  <c r="E218" i="6"/>
  <c r="C214" i="6"/>
  <c r="E210" i="6"/>
  <c r="D206" i="6"/>
  <c r="B202" i="6"/>
  <c r="A198" i="6"/>
  <c r="F193" i="6"/>
  <c r="A190" i="6"/>
  <c r="E186" i="6"/>
  <c r="B183" i="6"/>
  <c r="F179" i="6"/>
  <c r="E176" i="6"/>
  <c r="E173" i="6"/>
  <c r="E170" i="6"/>
  <c r="G167" i="6"/>
  <c r="F164" i="6"/>
  <c r="G161" i="6"/>
  <c r="B159" i="6"/>
  <c r="C156" i="6"/>
  <c r="B154" i="6"/>
  <c r="A152" i="6"/>
  <c r="B150" i="6"/>
  <c r="C148" i="6"/>
  <c r="D146" i="6"/>
  <c r="E144" i="6"/>
  <c r="G142" i="6"/>
  <c r="B141" i="6"/>
  <c r="D139" i="6"/>
  <c r="F137" i="6"/>
  <c r="A136" i="6"/>
  <c r="C134" i="6"/>
  <c r="E132" i="6"/>
  <c r="G130" i="6"/>
  <c r="B129" i="6"/>
  <c r="D127" i="6"/>
  <c r="F125" i="6"/>
  <c r="F367" i="6"/>
  <c r="D356" i="6"/>
  <c r="G343" i="6"/>
  <c r="G330" i="6"/>
  <c r="F318" i="6"/>
  <c r="A306" i="6"/>
  <c r="F294" i="6"/>
  <c r="B282" i="6"/>
  <c r="G270" i="6"/>
  <c r="G260" i="6"/>
  <c r="C252" i="6"/>
  <c r="E245" i="6"/>
  <c r="E240" i="6"/>
  <c r="D235" i="6"/>
  <c r="E230" i="6"/>
  <c r="C226" i="6"/>
  <c r="E222" i="6"/>
  <c r="D218" i="6"/>
  <c r="B214" i="6"/>
  <c r="A210" i="6"/>
  <c r="F205" i="6"/>
  <c r="A202" i="6"/>
  <c r="G197" i="6"/>
  <c r="E193" i="6"/>
  <c r="D189" i="6"/>
  <c r="A186" i="6"/>
  <c r="E182" i="6"/>
  <c r="B179" i="6"/>
  <c r="D176" i="6"/>
  <c r="C173" i="6"/>
  <c r="D170" i="6"/>
  <c r="F167" i="6"/>
  <c r="E164" i="6"/>
  <c r="E161" i="6"/>
  <c r="E158" i="6"/>
  <c r="B156" i="6"/>
  <c r="A154" i="6"/>
  <c r="G151" i="6"/>
  <c r="A150" i="6"/>
  <c r="B148" i="6"/>
  <c r="B146" i="6"/>
  <c r="D144" i="6"/>
  <c r="F142" i="6"/>
  <c r="A141" i="6"/>
  <c r="C139" i="6"/>
  <c r="E137" i="6"/>
  <c r="G135" i="6"/>
  <c r="B134" i="6"/>
  <c r="D132" i="6"/>
  <c r="F130" i="6"/>
  <c r="A129" i="6"/>
  <c r="C127" i="6"/>
  <c r="E125" i="6"/>
  <c r="G123" i="6"/>
  <c r="B122" i="6"/>
  <c r="D120" i="6"/>
  <c r="F118" i="6"/>
  <c r="A117" i="6"/>
  <c r="C115" i="6"/>
  <c r="E113" i="6"/>
  <c r="G111" i="6"/>
  <c r="B110" i="6"/>
  <c r="D108" i="6"/>
  <c r="F106" i="6"/>
  <c r="A105" i="6"/>
  <c r="C103" i="6"/>
  <c r="E101" i="6"/>
  <c r="G99" i="6"/>
  <c r="B98" i="6"/>
  <c r="D96" i="6"/>
  <c r="F94" i="6"/>
  <c r="A93" i="6"/>
  <c r="C91" i="6"/>
  <c r="E89" i="6"/>
  <c r="G87" i="6"/>
  <c r="B86" i="6"/>
  <c r="D84" i="6"/>
  <c r="F82" i="6"/>
  <c r="A81" i="6"/>
  <c r="C79" i="6"/>
  <c r="G366" i="6"/>
  <c r="F354" i="6"/>
  <c r="A342" i="6"/>
  <c r="F330" i="6"/>
  <c r="B318" i="6"/>
  <c r="B305" i="6"/>
  <c r="A293" i="6"/>
  <c r="C280" i="6"/>
  <c r="F270" i="6"/>
  <c r="E260" i="6"/>
  <c r="A252" i="6"/>
  <c r="G244" i="6"/>
  <c r="F239" i="6"/>
  <c r="C235" i="6"/>
  <c r="D230" i="6"/>
  <c r="B226" i="6"/>
  <c r="A222" i="6"/>
  <c r="F217" i="6"/>
  <c r="A214" i="6"/>
  <c r="G209" i="6"/>
  <c r="E205" i="6"/>
  <c r="D201" i="6"/>
  <c r="B197" i="6"/>
  <c r="D193" i="6"/>
  <c r="C189" i="6"/>
  <c r="G185" i="6"/>
  <c r="D182" i="6"/>
  <c r="A179" i="6"/>
  <c r="C176" i="6"/>
  <c r="B173" i="6"/>
  <c r="B170" i="6"/>
  <c r="B167" i="6"/>
  <c r="D164" i="6"/>
  <c r="C161" i="6"/>
  <c r="D158" i="6"/>
  <c r="A156" i="6"/>
  <c r="F153" i="6"/>
  <c r="F151" i="6"/>
  <c r="G149" i="6"/>
  <c r="G147" i="6"/>
  <c r="A146" i="6"/>
  <c r="C144" i="6"/>
  <c r="E142" i="6"/>
  <c r="G140" i="6"/>
  <c r="B139" i="6"/>
  <c r="D137" i="6"/>
  <c r="F135" i="6"/>
  <c r="A134" i="6"/>
  <c r="C132" i="6"/>
  <c r="E130" i="6"/>
  <c r="G128" i="6"/>
  <c r="B127" i="6"/>
  <c r="D125" i="6"/>
  <c r="F123" i="6"/>
  <c r="A122" i="6"/>
  <c r="C120" i="6"/>
  <c r="E118" i="6"/>
  <c r="G116" i="6"/>
  <c r="B115" i="6"/>
  <c r="D113" i="6"/>
  <c r="F111" i="6"/>
  <c r="A372" i="6"/>
  <c r="B341" i="6"/>
  <c r="C315" i="6"/>
  <c r="E284" i="6"/>
  <c r="G258" i="6"/>
  <c r="F241" i="6"/>
  <c r="F229" i="6"/>
  <c r="A221" i="6"/>
  <c r="G210" i="6"/>
  <c r="E200" i="6"/>
  <c r="A191" i="6"/>
  <c r="G181" i="6"/>
  <c r="C175" i="6"/>
  <c r="B168" i="6"/>
  <c r="A161" i="6"/>
  <c r="E154" i="6"/>
  <c r="E149" i="6"/>
  <c r="E145" i="6"/>
  <c r="D141" i="6"/>
  <c r="B137" i="6"/>
  <c r="A133" i="6"/>
  <c r="F128" i="6"/>
  <c r="A125" i="6"/>
  <c r="E121" i="6"/>
  <c r="B118" i="6"/>
  <c r="F114" i="6"/>
  <c r="C111" i="6"/>
  <c r="B108" i="6"/>
  <c r="B105" i="6"/>
  <c r="B102" i="6"/>
  <c r="D99" i="6"/>
  <c r="C96" i="6"/>
  <c r="D93" i="6"/>
  <c r="F90" i="6"/>
  <c r="E87" i="6"/>
  <c r="E84" i="6"/>
  <c r="B82" i="6"/>
  <c r="F79" i="6"/>
  <c r="D77" i="6"/>
  <c r="D75" i="6"/>
  <c r="D73" i="6"/>
  <c r="C71" i="6"/>
  <c r="D69" i="6"/>
  <c r="D67" i="6"/>
  <c r="E65" i="6"/>
  <c r="F63" i="6"/>
  <c r="G61" i="6"/>
  <c r="B60" i="6"/>
  <c r="D58" i="6"/>
  <c r="F56" i="6"/>
  <c r="A55" i="6"/>
  <c r="C53" i="6"/>
  <c r="E51" i="6"/>
  <c r="G49" i="6"/>
  <c r="B48" i="6"/>
  <c r="D46" i="6"/>
  <c r="F44" i="6"/>
  <c r="A43" i="6"/>
  <c r="C41" i="6"/>
  <c r="E39" i="6"/>
  <c r="G37" i="6"/>
  <c r="B36" i="6"/>
  <c r="D34" i="6"/>
  <c r="F32" i="6"/>
  <c r="A31" i="6"/>
  <c r="C29" i="6"/>
  <c r="E27" i="6"/>
  <c r="G25" i="6"/>
  <c r="B24" i="6"/>
  <c r="D22" i="6"/>
  <c r="F20" i="6"/>
  <c r="A19" i="6"/>
  <c r="C17" i="6"/>
  <c r="E15" i="6"/>
  <c r="G18" i="6"/>
  <c r="D15" i="6"/>
  <c r="D159" i="6"/>
  <c r="E104" i="6"/>
  <c r="F92" i="6"/>
  <c r="D81" i="6"/>
  <c r="G72" i="6"/>
  <c r="A67" i="6"/>
  <c r="F59" i="6"/>
  <c r="G52" i="6"/>
  <c r="G371" i="6"/>
  <c r="A341" i="6"/>
  <c r="C310" i="6"/>
  <c r="D279" i="6"/>
  <c r="F258" i="6"/>
  <c r="E241" i="6"/>
  <c r="E229" i="6"/>
  <c r="D219" i="6"/>
  <c r="B209" i="6"/>
  <c r="D200" i="6"/>
  <c r="C190" i="6"/>
  <c r="F181" i="6"/>
  <c r="E174" i="6"/>
  <c r="A167" i="6"/>
  <c r="G160" i="6"/>
  <c r="D154" i="6"/>
  <c r="D149" i="6"/>
  <c r="A145" i="6"/>
  <c r="F140" i="6"/>
  <c r="A137" i="6"/>
  <c r="G132" i="6"/>
  <c r="E128" i="6"/>
  <c r="D124" i="6"/>
  <c r="A121" i="6"/>
  <c r="E117" i="6"/>
  <c r="B114" i="6"/>
  <c r="F110" i="6"/>
  <c r="A108" i="6"/>
  <c r="G104" i="6"/>
  <c r="A102" i="6"/>
  <c r="C99" i="6"/>
  <c r="B96" i="6"/>
  <c r="B93" i="6"/>
  <c r="B90" i="6"/>
  <c r="D87" i="6"/>
  <c r="C84" i="6"/>
  <c r="G81" i="6"/>
  <c r="D79" i="6"/>
  <c r="C77" i="6"/>
  <c r="C75" i="6"/>
  <c r="C73" i="6"/>
  <c r="B71" i="6"/>
  <c r="B69" i="6"/>
  <c r="C67" i="6"/>
  <c r="D65" i="6"/>
  <c r="E63" i="6"/>
  <c r="F61" i="6"/>
  <c r="A60" i="6"/>
  <c r="C58" i="6"/>
  <c r="E56" i="6"/>
  <c r="G54" i="6"/>
  <c r="B53" i="6"/>
  <c r="D51" i="6"/>
  <c r="F49" i="6"/>
  <c r="A48" i="6"/>
  <c r="C46" i="6"/>
  <c r="E44" i="6"/>
  <c r="G42" i="6"/>
  <c r="B41" i="6"/>
  <c r="D39" i="6"/>
  <c r="F37" i="6"/>
  <c r="A36" i="6"/>
  <c r="C34" i="6"/>
  <c r="E32" i="6"/>
  <c r="G30" i="6"/>
  <c r="B29" i="6"/>
  <c r="D27" i="6"/>
  <c r="F25" i="6"/>
  <c r="A24" i="6"/>
  <c r="C22" i="6"/>
  <c r="E20" i="6"/>
  <c r="B17" i="6"/>
  <c r="F148" i="6"/>
  <c r="C107" i="6"/>
  <c r="G95" i="6"/>
  <c r="A84" i="6"/>
  <c r="A77" i="6"/>
  <c r="G68" i="6"/>
  <c r="D61" i="6"/>
  <c r="C56" i="6"/>
  <c r="D49" i="6"/>
  <c r="F366" i="6"/>
  <c r="C339" i="6"/>
  <c r="B310" i="6"/>
  <c r="C279" i="6"/>
  <c r="D255" i="6"/>
  <c r="E239" i="6"/>
  <c r="D229" i="6"/>
  <c r="C219" i="6"/>
  <c r="A209" i="6"/>
  <c r="G198" i="6"/>
  <c r="F188" i="6"/>
  <c r="E181" i="6"/>
  <c r="A174" i="6"/>
  <c r="F166" i="6"/>
  <c r="E159" i="6"/>
  <c r="D153" i="6"/>
  <c r="C149" i="6"/>
  <c r="G144" i="6"/>
  <c r="E140" i="6"/>
  <c r="D136" i="6"/>
  <c r="B132" i="6"/>
  <c r="D128" i="6"/>
  <c r="C124" i="6"/>
  <c r="G120" i="6"/>
  <c r="D117" i="6"/>
  <c r="A114" i="6"/>
  <c r="E110" i="6"/>
  <c r="G107" i="6"/>
  <c r="F104" i="6"/>
  <c r="F101" i="6"/>
  <c r="F98" i="6"/>
  <c r="A96" i="6"/>
  <c r="G92" i="6"/>
  <c r="A90" i="6"/>
  <c r="C87" i="6"/>
  <c r="B84" i="6"/>
  <c r="E81" i="6"/>
  <c r="B79" i="6"/>
  <c r="B77" i="6"/>
  <c r="B75" i="6"/>
  <c r="A73" i="6"/>
  <c r="G70" i="6"/>
  <c r="A69" i="6"/>
  <c r="B67" i="6"/>
  <c r="C65" i="6"/>
  <c r="D63" i="6"/>
  <c r="E61" i="6"/>
  <c r="G59" i="6"/>
  <c r="B58" i="6"/>
  <c r="D56" i="6"/>
  <c r="F54" i="6"/>
  <c r="A53" i="6"/>
  <c r="C51" i="6"/>
  <c r="E49" i="6"/>
  <c r="G47" i="6"/>
  <c r="B46" i="6"/>
  <c r="D44" i="6"/>
  <c r="F42" i="6"/>
  <c r="A41" i="6"/>
  <c r="C39" i="6"/>
  <c r="E37" i="6"/>
  <c r="G35" i="6"/>
  <c r="B34" i="6"/>
  <c r="D32" i="6"/>
  <c r="F30" i="6"/>
  <c r="A29" i="6"/>
  <c r="C27" i="6"/>
  <c r="E25" i="6"/>
  <c r="G23" i="6"/>
  <c r="B22" i="6"/>
  <c r="D20" i="6"/>
  <c r="F18" i="6"/>
  <c r="A17" i="6"/>
  <c r="C15" i="6"/>
  <c r="F198" i="6"/>
  <c r="A132" i="6"/>
  <c r="A124" i="6"/>
  <c r="B117" i="6"/>
  <c r="C110" i="6"/>
  <c r="E98" i="6"/>
  <c r="F89" i="6"/>
  <c r="A79" i="6"/>
  <c r="F70" i="6"/>
  <c r="C63" i="6"/>
  <c r="E54" i="6"/>
  <c r="F47" i="6"/>
  <c r="A365" i="6"/>
  <c r="G335" i="6"/>
  <c r="A305" i="6"/>
  <c r="E277" i="6"/>
  <c r="C255" i="6"/>
  <c r="D239" i="6"/>
  <c r="G227" i="6"/>
  <c r="E217" i="6"/>
  <c r="G208" i="6"/>
  <c r="E188" i="6"/>
  <c r="B180" i="6"/>
  <c r="A173" i="6"/>
  <c r="D166" i="6"/>
  <c r="C153" i="6"/>
  <c r="B144" i="6"/>
  <c r="D140" i="6"/>
  <c r="C136" i="6"/>
  <c r="G127" i="6"/>
  <c r="E120" i="6"/>
  <c r="F113" i="6"/>
  <c r="D101" i="6"/>
  <c r="F86" i="6"/>
  <c r="A75" i="6"/>
  <c r="B65" i="6"/>
  <c r="A58" i="6"/>
  <c r="B51" i="6"/>
  <c r="G359" i="6"/>
  <c r="A329" i="6"/>
  <c r="F302" i="6"/>
  <c r="D273" i="6"/>
  <c r="E250" i="6"/>
  <c r="D237" i="6"/>
  <c r="A226" i="6"/>
  <c r="G216" i="6"/>
  <c r="B207" i="6"/>
  <c r="G196" i="6"/>
  <c r="A187" i="6"/>
  <c r="F178" i="6"/>
  <c r="C172" i="6"/>
  <c r="C165" i="6"/>
  <c r="A158" i="6"/>
  <c r="D152" i="6"/>
  <c r="F147" i="6"/>
  <c r="G143" i="6"/>
  <c r="F139" i="6"/>
  <c r="D135" i="6"/>
  <c r="C131" i="6"/>
  <c r="A127" i="6"/>
  <c r="D123" i="6"/>
  <c r="A120" i="6"/>
  <c r="E116" i="6"/>
  <c r="B113" i="6"/>
  <c r="G109" i="6"/>
  <c r="G106" i="6"/>
  <c r="G103" i="6"/>
  <c r="B101" i="6"/>
  <c r="A98" i="6"/>
  <c r="B95" i="6"/>
  <c r="D92" i="6"/>
  <c r="C89" i="6"/>
  <c r="C86" i="6"/>
  <c r="E83" i="6"/>
  <c r="G80" i="6"/>
  <c r="F78" i="6"/>
  <c r="F76" i="6"/>
  <c r="E74" i="6"/>
  <c r="D72" i="6"/>
  <c r="D70" i="6"/>
  <c r="E68" i="6"/>
  <c r="F66" i="6"/>
  <c r="G64" i="6"/>
  <c r="A63" i="6"/>
  <c r="B61" i="6"/>
  <c r="D59" i="6"/>
  <c r="F57" i="6"/>
  <c r="A56" i="6"/>
  <c r="C54" i="6"/>
  <c r="E52" i="6"/>
  <c r="G50" i="6"/>
  <c r="B49" i="6"/>
  <c r="D47" i="6"/>
  <c r="F45" i="6"/>
  <c r="A44" i="6"/>
  <c r="C42" i="6"/>
  <c r="E40" i="6"/>
  <c r="G38" i="6"/>
  <c r="B37" i="6"/>
  <c r="D35" i="6"/>
  <c r="F33" i="6"/>
  <c r="A32" i="6"/>
  <c r="C30" i="6"/>
  <c r="E28" i="6"/>
  <c r="G26" i="6"/>
  <c r="B25" i="6"/>
  <c r="D23" i="6"/>
  <c r="F21" i="6"/>
  <c r="A20" i="6"/>
  <c r="C18" i="6"/>
  <c r="E16" i="6"/>
  <c r="G14" i="6"/>
  <c r="B42" i="6"/>
  <c r="F38" i="6"/>
  <c r="C35" i="6"/>
  <c r="G31" i="6"/>
  <c r="D28" i="6"/>
  <c r="A25" i="6"/>
  <c r="C23" i="6"/>
  <c r="G19" i="6"/>
  <c r="D16" i="6"/>
  <c r="F14" i="6"/>
  <c r="E14" i="6"/>
  <c r="G29" i="6"/>
  <c r="F24" i="6"/>
  <c r="C21" i="6"/>
  <c r="D14" i="6"/>
  <c r="D321" i="6"/>
  <c r="C359" i="6"/>
  <c r="D328" i="6"/>
  <c r="B298" i="6"/>
  <c r="B269" i="6"/>
  <c r="C250" i="6"/>
  <c r="E236" i="6"/>
  <c r="D225" i="6"/>
  <c r="F215" i="6"/>
  <c r="D205" i="6"/>
  <c r="C196" i="6"/>
  <c r="G186" i="6"/>
  <c r="D178" i="6"/>
  <c r="D171" i="6"/>
  <c r="C164" i="6"/>
  <c r="G157" i="6"/>
  <c r="C152" i="6"/>
  <c r="E147" i="6"/>
  <c r="C143" i="6"/>
  <c r="A139" i="6"/>
  <c r="C135" i="6"/>
  <c r="B131" i="6"/>
  <c r="G126" i="6"/>
  <c r="C123" i="6"/>
  <c r="G119" i="6"/>
  <c r="D116" i="6"/>
  <c r="A113" i="6"/>
  <c r="F109" i="6"/>
  <c r="E106" i="6"/>
  <c r="F103" i="6"/>
  <c r="A101" i="6"/>
  <c r="G97" i="6"/>
  <c r="G94" i="6"/>
  <c r="G91" i="6"/>
  <c r="B89" i="6"/>
  <c r="A86" i="6"/>
  <c r="C83" i="6"/>
  <c r="F80" i="6"/>
  <c r="E78" i="6"/>
  <c r="D76" i="6"/>
  <c r="C74" i="6"/>
  <c r="C72" i="6"/>
  <c r="C70" i="6"/>
  <c r="D68" i="6"/>
  <c r="E66" i="6"/>
  <c r="F64" i="6"/>
  <c r="G62" i="6"/>
  <c r="A61" i="6"/>
  <c r="C59" i="6"/>
  <c r="E57" i="6"/>
  <c r="G55" i="6"/>
  <c r="B54" i="6"/>
  <c r="D52" i="6"/>
  <c r="F50" i="6"/>
  <c r="A49" i="6"/>
  <c r="C47" i="6"/>
  <c r="E45" i="6"/>
  <c r="G43" i="6"/>
  <c r="D40" i="6"/>
  <c r="A37" i="6"/>
  <c r="E33" i="6"/>
  <c r="B30" i="6"/>
  <c r="F26" i="6"/>
  <c r="E21" i="6"/>
  <c r="B18" i="6"/>
  <c r="C16" i="6"/>
  <c r="E31" i="6"/>
  <c r="A23" i="6"/>
  <c r="B16" i="6"/>
  <c r="B354" i="6"/>
  <c r="E326" i="6"/>
  <c r="E297" i="6"/>
  <c r="A269" i="6"/>
  <c r="B247" i="6"/>
  <c r="E234" i="6"/>
  <c r="C225" i="6"/>
  <c r="B215" i="6"/>
  <c r="G204" i="6"/>
  <c r="B195" i="6"/>
  <c r="C185" i="6"/>
  <c r="C178" i="6"/>
  <c r="C171" i="6"/>
  <c r="F163" i="6"/>
  <c r="G156" i="6"/>
  <c r="E151" i="6"/>
  <c r="D147" i="6"/>
  <c r="B143" i="6"/>
  <c r="G138" i="6"/>
  <c r="F134" i="6"/>
  <c r="D130" i="6"/>
  <c r="F126" i="6"/>
  <c r="F122" i="6"/>
  <c r="C119" i="6"/>
  <c r="G115" i="6"/>
  <c r="D112" i="6"/>
  <c r="E109" i="6"/>
  <c r="D106" i="6"/>
  <c r="D103" i="6"/>
  <c r="D100" i="6"/>
  <c r="F97" i="6"/>
  <c r="E94" i="6"/>
  <c r="F91" i="6"/>
  <c r="A89" i="6"/>
  <c r="G85" i="6"/>
  <c r="B83" i="6"/>
  <c r="E80" i="6"/>
  <c r="D78" i="6"/>
  <c r="C76" i="6"/>
  <c r="B74" i="6"/>
  <c r="B72" i="6"/>
  <c r="B70" i="6"/>
  <c r="C68" i="6"/>
  <c r="D66" i="6"/>
  <c r="E64" i="6"/>
  <c r="F62" i="6"/>
  <c r="G60" i="6"/>
  <c r="B59" i="6"/>
  <c r="D57" i="6"/>
  <c r="F55" i="6"/>
  <c r="A54" i="6"/>
  <c r="C52" i="6"/>
  <c r="E50" i="6"/>
  <c r="G48" i="6"/>
  <c r="B47" i="6"/>
  <c r="D45" i="6"/>
  <c r="F43" i="6"/>
  <c r="A42" i="6"/>
  <c r="C40" i="6"/>
  <c r="E38" i="6"/>
  <c r="G36" i="6"/>
  <c r="B35" i="6"/>
  <c r="D33" i="6"/>
  <c r="F31" i="6"/>
  <c r="A30" i="6"/>
  <c r="C28" i="6"/>
  <c r="E26" i="6"/>
  <c r="G24" i="6"/>
  <c r="B23" i="6"/>
  <c r="D21" i="6"/>
  <c r="F19" i="6"/>
  <c r="A18" i="6"/>
  <c r="A35" i="6"/>
  <c r="D26" i="6"/>
  <c r="E19" i="6"/>
  <c r="C352" i="6"/>
  <c r="C323" i="6"/>
  <c r="D292" i="6"/>
  <c r="C267" i="6"/>
  <c r="G246" i="6"/>
  <c r="D234" i="6"/>
  <c r="F223" i="6"/>
  <c r="D213" i="6"/>
  <c r="F204" i="6"/>
  <c r="E194" i="6"/>
  <c r="B185" i="6"/>
  <c r="C177" i="6"/>
  <c r="G169" i="6"/>
  <c r="E163" i="6"/>
  <c r="F156" i="6"/>
  <c r="C151" i="6"/>
  <c r="G146" i="6"/>
  <c r="D142" i="6"/>
  <c r="F138" i="6"/>
  <c r="E134" i="6"/>
  <c r="C130" i="6"/>
  <c r="B126" i="6"/>
  <c r="E122" i="6"/>
  <c r="B119" i="6"/>
  <c r="F115" i="6"/>
  <c r="C112" i="6"/>
  <c r="A109" i="6"/>
  <c r="C106" i="6"/>
  <c r="B103" i="6"/>
  <c r="C100" i="6"/>
  <c r="E97" i="6"/>
  <c r="D94" i="6"/>
  <c r="D91" i="6"/>
  <c r="D88" i="6"/>
  <c r="F85" i="6"/>
  <c r="G82" i="6"/>
  <c r="D80" i="6"/>
  <c r="B78" i="6"/>
  <c r="A76" i="6"/>
  <c r="A74" i="6"/>
  <c r="A72" i="6"/>
  <c r="A70" i="6"/>
  <c r="B68" i="6"/>
  <c r="C66" i="6"/>
  <c r="D64" i="6"/>
  <c r="E62" i="6"/>
  <c r="F60" i="6"/>
  <c r="A59" i="6"/>
  <c r="C57" i="6"/>
  <c r="E55" i="6"/>
  <c r="G53" i="6"/>
  <c r="B52" i="6"/>
  <c r="D50" i="6"/>
  <c r="F48" i="6"/>
  <c r="A47" i="6"/>
  <c r="C45" i="6"/>
  <c r="E43" i="6"/>
  <c r="G41" i="6"/>
  <c r="B40" i="6"/>
  <c r="D38" i="6"/>
  <c r="F36" i="6"/>
  <c r="C33" i="6"/>
  <c r="B28" i="6"/>
  <c r="G17" i="6"/>
  <c r="G264" i="6"/>
  <c r="F244" i="6"/>
  <c r="D364" i="6"/>
  <c r="B263" i="6"/>
  <c r="B221" i="6"/>
  <c r="A192" i="6"/>
  <c r="D168" i="6"/>
  <c r="D150" i="6"/>
  <c r="C137" i="6"/>
  <c r="B125" i="6"/>
  <c r="G114" i="6"/>
  <c r="D105" i="6"/>
  <c r="E96" i="6"/>
  <c r="F87" i="6"/>
  <c r="G79" i="6"/>
  <c r="E73" i="6"/>
  <c r="F67" i="6"/>
  <c r="A62" i="6"/>
  <c r="G56" i="6"/>
  <c r="F51" i="6"/>
  <c r="E46" i="6"/>
  <c r="D42" i="6"/>
  <c r="B38" i="6"/>
  <c r="A34" i="6"/>
  <c r="F29" i="6"/>
  <c r="A26" i="6"/>
  <c r="G21" i="6"/>
  <c r="E17" i="6"/>
  <c r="C8" i="6"/>
  <c r="G16" i="6"/>
  <c r="F71" i="6"/>
  <c r="B45" i="6"/>
  <c r="G28" i="6"/>
  <c r="B334" i="6"/>
  <c r="F121" i="6"/>
  <c r="G84" i="6"/>
  <c r="C60" i="6"/>
  <c r="E36" i="6"/>
  <c r="C20" i="6"/>
  <c r="A88" i="6"/>
  <c r="D30" i="6"/>
  <c r="D351" i="6"/>
  <c r="B259" i="6"/>
  <c r="D217" i="6"/>
  <c r="D188" i="6"/>
  <c r="D165" i="6"/>
  <c r="E148" i="6"/>
  <c r="E135" i="6"/>
  <c r="E123" i="6"/>
  <c r="C113" i="6"/>
  <c r="D104" i="6"/>
  <c r="C95" i="6"/>
  <c r="E86" i="6"/>
  <c r="G78" i="6"/>
  <c r="E72" i="6"/>
  <c r="G66" i="6"/>
  <c r="C61" i="6"/>
  <c r="B56" i="6"/>
  <c r="A51" i="6"/>
  <c r="A46" i="6"/>
  <c r="F41" i="6"/>
  <c r="A38" i="6"/>
  <c r="G33" i="6"/>
  <c r="E29" i="6"/>
  <c r="D25" i="6"/>
  <c r="B21" i="6"/>
  <c r="D17" i="6"/>
  <c r="B66" i="6"/>
  <c r="G45" i="6"/>
  <c r="D37" i="6"/>
  <c r="D29" i="6"/>
  <c r="A21" i="6"/>
  <c r="F77" i="6"/>
  <c r="D60" i="6"/>
  <c r="D41" i="6"/>
  <c r="E24" i="6"/>
  <c r="F243" i="6"/>
  <c r="F145" i="6"/>
  <c r="F102" i="6"/>
  <c r="E71" i="6"/>
  <c r="A50" i="6"/>
  <c r="G32" i="6"/>
  <c r="C125" i="6"/>
  <c r="G51" i="6"/>
  <c r="B347" i="6"/>
  <c r="G251" i="6"/>
  <c r="C213" i="6"/>
  <c r="A185" i="6"/>
  <c r="F162" i="6"/>
  <c r="F146" i="6"/>
  <c r="G133" i="6"/>
  <c r="C122" i="6"/>
  <c r="A112" i="6"/>
  <c r="A103" i="6"/>
  <c r="C94" i="6"/>
  <c r="E85" i="6"/>
  <c r="A78" i="6"/>
  <c r="G71" i="6"/>
  <c r="E60" i="6"/>
  <c r="D55" i="6"/>
  <c r="C50" i="6"/>
  <c r="E41" i="6"/>
  <c r="B33" i="6"/>
  <c r="C25" i="6"/>
  <c r="A85" i="6"/>
  <c r="C55" i="6"/>
  <c r="C37" i="6"/>
  <c r="G20" i="6"/>
  <c r="E211" i="6"/>
  <c r="B161" i="6"/>
  <c r="D111" i="6"/>
  <c r="E77" i="6"/>
  <c r="B55" i="6"/>
  <c r="G40" i="6"/>
  <c r="D24" i="6"/>
  <c r="E105" i="6"/>
  <c r="E34" i="6"/>
  <c r="C346" i="6"/>
  <c r="G243" i="6"/>
  <c r="E212" i="6"/>
  <c r="E183" i="6"/>
  <c r="E162" i="6"/>
  <c r="G145" i="6"/>
  <c r="F133" i="6"/>
  <c r="G121" i="6"/>
  <c r="E111" i="6"/>
  <c r="G102" i="6"/>
  <c r="B94" i="6"/>
  <c r="A66" i="6"/>
  <c r="B50" i="6"/>
  <c r="A33" i="6"/>
  <c r="F16" i="6"/>
  <c r="D183" i="6"/>
  <c r="E133" i="6"/>
  <c r="E93" i="6"/>
  <c r="F65" i="6"/>
  <c r="A45" i="6"/>
  <c r="F28" i="6"/>
  <c r="A16" i="6"/>
  <c r="G96" i="6"/>
  <c r="C38" i="6"/>
  <c r="C316" i="6"/>
  <c r="F238" i="6"/>
  <c r="C207" i="6"/>
  <c r="A180" i="6"/>
  <c r="B158" i="6"/>
  <c r="A144" i="6"/>
  <c r="G131" i="6"/>
  <c r="B120" i="6"/>
  <c r="A110" i="6"/>
  <c r="C101" i="6"/>
  <c r="E92" i="6"/>
  <c r="G83" i="6"/>
  <c r="G76" i="6"/>
  <c r="E70" i="6"/>
  <c r="A65" i="6"/>
  <c r="E59" i="6"/>
  <c r="D54" i="6"/>
  <c r="C49" i="6"/>
  <c r="G44" i="6"/>
  <c r="F40" i="6"/>
  <c r="D36" i="6"/>
  <c r="C32" i="6"/>
  <c r="A28" i="6"/>
  <c r="C24" i="6"/>
  <c r="B20" i="6"/>
  <c r="G15" i="6"/>
  <c r="F15" i="6"/>
  <c r="C48" i="6"/>
  <c r="C31" i="6"/>
  <c r="A15" i="6"/>
  <c r="B39" i="6"/>
  <c r="F22" i="6"/>
  <c r="E223" i="6"/>
  <c r="D115" i="6"/>
  <c r="G73" i="6"/>
  <c r="A52" i="6"/>
  <c r="E30" i="6"/>
  <c r="B14" i="6"/>
  <c r="E150" i="6"/>
  <c r="F73" i="6"/>
  <c r="E42" i="6"/>
  <c r="D315" i="6"/>
  <c r="E233" i="6"/>
  <c r="B203" i="6"/>
  <c r="A177" i="6"/>
  <c r="G155" i="6"/>
  <c r="C142" i="6"/>
  <c r="B130" i="6"/>
  <c r="G118" i="6"/>
  <c r="G108" i="6"/>
  <c r="A100" i="6"/>
  <c r="B91" i="6"/>
  <c r="E82" i="6"/>
  <c r="G75" i="6"/>
  <c r="G69" i="6"/>
  <c r="C64" i="6"/>
  <c r="G58" i="6"/>
  <c r="F53" i="6"/>
  <c r="E48" i="6"/>
  <c r="C44" i="6"/>
  <c r="A40" i="6"/>
  <c r="C36" i="6"/>
  <c r="B32" i="6"/>
  <c r="G27" i="6"/>
  <c r="F23" i="6"/>
  <c r="D19" i="6"/>
  <c r="D53" i="6"/>
  <c r="F39" i="6"/>
  <c r="G22" i="6"/>
  <c r="F52" i="6"/>
  <c r="B31" i="6"/>
  <c r="D285" i="6"/>
  <c r="C88" i="6"/>
  <c r="B57" i="6"/>
  <c r="F34" i="6"/>
  <c r="E274" i="6"/>
  <c r="A115" i="6"/>
  <c r="A57" i="6"/>
  <c r="A14" i="6"/>
  <c r="C303" i="6"/>
  <c r="D232" i="6"/>
  <c r="A203" i="6"/>
  <c r="F175" i="6"/>
  <c r="F155" i="6"/>
  <c r="B142" i="6"/>
  <c r="E129" i="6"/>
  <c r="D118" i="6"/>
  <c r="E108" i="6"/>
  <c r="F99" i="6"/>
  <c r="A91" i="6"/>
  <c r="D82" i="6"/>
  <c r="F75" i="6"/>
  <c r="F69" i="6"/>
  <c r="A64" i="6"/>
  <c r="F58" i="6"/>
  <c r="E53" i="6"/>
  <c r="D48" i="6"/>
  <c r="B44" i="6"/>
  <c r="G39" i="6"/>
  <c r="F35" i="6"/>
  <c r="D31" i="6"/>
  <c r="F27" i="6"/>
  <c r="E23" i="6"/>
  <c r="C19" i="6"/>
  <c r="B15" i="6"/>
  <c r="E58" i="6"/>
  <c r="E35" i="6"/>
  <c r="B27" i="6"/>
  <c r="E47" i="6"/>
  <c r="G34" i="6"/>
  <c r="E18" i="6"/>
  <c r="F169" i="6"/>
  <c r="B138" i="6"/>
  <c r="A97" i="6"/>
  <c r="C62" i="6"/>
  <c r="B43" i="6"/>
  <c r="C26" i="6"/>
  <c r="D18" i="6"/>
  <c r="E169" i="6"/>
  <c r="A138" i="6"/>
  <c r="B80" i="6"/>
  <c r="F46" i="6"/>
  <c r="F17" i="6"/>
  <c r="E290" i="6"/>
  <c r="D231" i="6"/>
  <c r="C201" i="6"/>
  <c r="E175" i="6"/>
  <c r="D155" i="6"/>
  <c r="E141" i="6"/>
  <c r="D129" i="6"/>
  <c r="C118" i="6"/>
  <c r="C108" i="6"/>
  <c r="E99" i="6"/>
  <c r="G90" i="6"/>
  <c r="C82" i="6"/>
  <c r="E75" i="6"/>
  <c r="E69" i="6"/>
  <c r="G63" i="6"/>
  <c r="D43" i="6"/>
  <c r="B19" i="6"/>
  <c r="A27" i="6"/>
  <c r="G192" i="6"/>
  <c r="A126" i="6"/>
  <c r="C80" i="6"/>
  <c r="A39" i="6"/>
  <c r="G221" i="6"/>
  <c r="B62" i="6"/>
  <c r="A22" i="6"/>
  <c r="F289" i="6"/>
  <c r="F227" i="6"/>
  <c r="A197" i="6"/>
  <c r="G172" i="6"/>
  <c r="A153" i="6"/>
  <c r="G139" i="6"/>
  <c r="F127" i="6"/>
  <c r="F116" i="6"/>
  <c r="B107" i="6"/>
  <c r="C98" i="6"/>
  <c r="D89" i="6"/>
  <c r="B81" i="6"/>
  <c r="F74" i="6"/>
  <c r="F68" i="6"/>
  <c r="B63" i="6"/>
  <c r="G57" i="6"/>
  <c r="C43" i="6"/>
  <c r="C14" i="6"/>
  <c r="B151" i="6"/>
  <c r="B106" i="6"/>
  <c r="A68" i="6"/>
  <c r="G46" i="6"/>
  <c r="E22" i="6"/>
  <c r="F192" i="6"/>
  <c r="G67" i="6"/>
  <c r="B26" i="6"/>
  <c r="C11" i="6"/>
  <c r="C10" i="6" s="1"/>
  <c r="D51" i="3" l="1"/>
  <c r="D45" i="3"/>
  <c r="C50" i="3"/>
  <c r="C47" i="3"/>
  <c r="I30" i="1"/>
  <c r="H30" i="1"/>
  <c r="C45" i="3" s="1"/>
  <c r="I37" i="1"/>
  <c r="D47" i="3" s="1"/>
  <c r="H37" i="1"/>
  <c r="H43" i="1"/>
  <c r="C49" i="3" s="1"/>
  <c r="I43" i="1"/>
  <c r="C2" i="5" s="1"/>
  <c r="B7" i="5" s="1"/>
  <c r="I49" i="1"/>
  <c r="H49" i="1"/>
  <c r="C51" i="3" s="1"/>
  <c r="E51" i="3" s="1"/>
  <c r="H56" i="1"/>
  <c r="C53" i="3" s="1"/>
  <c r="I56" i="1"/>
  <c r="D53" i="3" s="1"/>
  <c r="I21" i="1"/>
  <c r="D43" i="3" s="1"/>
  <c r="H21" i="1"/>
  <c r="C43" i="3" s="1"/>
  <c r="E43" i="3" s="1"/>
  <c r="D63" i="1"/>
  <c r="D52" i="3" s="1"/>
  <c r="C63" i="1"/>
  <c r="C52" i="3" s="1"/>
  <c r="E52" i="3" s="1"/>
  <c r="D53" i="1"/>
  <c r="D50" i="3" s="1"/>
  <c r="C53" i="1"/>
  <c r="D45" i="1"/>
  <c r="D48" i="3" s="1"/>
  <c r="C45" i="1"/>
  <c r="C48" i="3" s="1"/>
  <c r="D39" i="1"/>
  <c r="D46" i="3" s="1"/>
  <c r="C39" i="1"/>
  <c r="C46" i="3" s="1"/>
  <c r="D32" i="1"/>
  <c r="D44" i="3" s="1"/>
  <c r="C32" i="1"/>
  <c r="C44" i="3" s="1"/>
  <c r="E44" i="3" s="1"/>
  <c r="D22" i="1"/>
  <c r="D42" i="3" s="1"/>
  <c r="C22" i="1"/>
  <c r="C42" i="3" s="1"/>
  <c r="E42" i="3" s="1"/>
  <c r="E53" i="3" l="1"/>
  <c r="E47" i="3"/>
  <c r="E48" i="3"/>
  <c r="E45" i="3"/>
  <c r="E46" i="3"/>
  <c r="E50" i="3"/>
  <c r="C7" i="5"/>
  <c r="E7" i="5" s="1"/>
  <c r="D49" i="3"/>
  <c r="E49" i="3" s="1"/>
  <c r="E12" i="1"/>
  <c r="E13" i="1"/>
  <c r="E14" i="1"/>
  <c r="E15" i="1"/>
  <c r="E16" i="1"/>
  <c r="E17" i="1"/>
  <c r="E18" i="1"/>
  <c r="E19" i="1"/>
  <c r="E20" i="1"/>
  <c r="E21" i="1"/>
  <c r="D7" i="5" l="1"/>
  <c r="F7" i="5" s="1"/>
  <c r="B8" i="5" s="1"/>
  <c r="E9" i="1"/>
  <c r="E5" i="1"/>
  <c r="J60" i="1"/>
  <c r="J58" i="1"/>
  <c r="J52" i="1"/>
  <c r="J53" i="1"/>
  <c r="J54" i="1"/>
  <c r="J55" i="1"/>
  <c r="J46" i="1"/>
  <c r="J47" i="1"/>
  <c r="J48" i="1"/>
  <c r="J40" i="1"/>
  <c r="J41" i="1"/>
  <c r="J42" i="1"/>
  <c r="J33" i="1"/>
  <c r="J34" i="1"/>
  <c r="J35" i="1"/>
  <c r="J36" i="1"/>
  <c r="J24" i="1"/>
  <c r="J25" i="1"/>
  <c r="J26" i="1"/>
  <c r="J27" i="1"/>
  <c r="J28" i="1"/>
  <c r="J29" i="1"/>
  <c r="J12" i="1"/>
  <c r="J13" i="1"/>
  <c r="J14" i="1"/>
  <c r="J15" i="1"/>
  <c r="J16" i="1"/>
  <c r="J17" i="1"/>
  <c r="J18" i="1"/>
  <c r="J19" i="1"/>
  <c r="J20" i="1"/>
  <c r="E56" i="1"/>
  <c r="E57" i="1"/>
  <c r="E58" i="1"/>
  <c r="E59" i="1"/>
  <c r="E60" i="1"/>
  <c r="E61" i="1"/>
  <c r="E62" i="1"/>
  <c r="E48" i="1"/>
  <c r="E49" i="1"/>
  <c r="E50" i="1"/>
  <c r="E51" i="1"/>
  <c r="E52" i="1"/>
  <c r="E42" i="1"/>
  <c r="E43" i="1"/>
  <c r="E44" i="1"/>
  <c r="E35" i="1"/>
  <c r="E36" i="1"/>
  <c r="E37" i="1"/>
  <c r="E38" i="1"/>
  <c r="E25" i="1"/>
  <c r="E26" i="1"/>
  <c r="E27" i="1"/>
  <c r="E28" i="1"/>
  <c r="E29" i="1"/>
  <c r="E30" i="1"/>
  <c r="E31" i="1"/>
  <c r="C8" i="5" l="1"/>
  <c r="E8" i="5" s="1"/>
  <c r="J37" i="1"/>
  <c r="J30" i="1"/>
  <c r="J5" i="1"/>
  <c r="J3" i="1"/>
  <c r="E45" i="1"/>
  <c r="E22" i="1"/>
  <c r="E63" i="1"/>
  <c r="J43" i="1"/>
  <c r="J62" i="1"/>
  <c r="E39" i="1"/>
  <c r="E53" i="1"/>
  <c r="J49" i="1"/>
  <c r="J56" i="1"/>
  <c r="E32" i="1"/>
  <c r="J21" i="1"/>
  <c r="D8" i="5" l="1"/>
  <c r="F8" i="5" s="1"/>
  <c r="B9" i="5" s="1"/>
  <c r="J7" i="1"/>
  <c r="C9" i="5" l="1"/>
  <c r="E9" i="5" s="1"/>
  <c r="D9" i="5" l="1"/>
  <c r="F9" i="5" s="1"/>
  <c r="B10" i="5" s="1"/>
  <c r="C10" i="5" l="1"/>
  <c r="E10" i="5" s="1"/>
  <c r="D10" i="5" l="1"/>
  <c r="F10" i="5" s="1"/>
  <c r="B11" i="5" s="1"/>
  <c r="C11" i="5" l="1"/>
  <c r="E11" i="5" s="1"/>
  <c r="D11" i="5" l="1"/>
  <c r="F11" i="5" s="1"/>
  <c r="B12" i="5" s="1"/>
  <c r="C12" i="5" l="1"/>
  <c r="E12" i="5" s="1"/>
  <c r="D12" i="5"/>
  <c r="F12" i="5" s="1"/>
  <c r="B13" i="5" s="1"/>
  <c r="C13" i="5" l="1"/>
  <c r="E13" i="5" s="1"/>
  <c r="D13" i="5"/>
  <c r="F13" i="5" s="1"/>
  <c r="B14" i="5" s="1"/>
  <c r="C14" i="5" l="1"/>
  <c r="E14" i="5" s="1"/>
  <c r="D14" i="5"/>
  <c r="F14" i="5" s="1"/>
  <c r="B15" i="5" s="1"/>
  <c r="C15" i="5" l="1"/>
  <c r="E15" i="5" s="1"/>
  <c r="D15" i="5"/>
  <c r="F15" i="5" s="1"/>
  <c r="B16" i="5" s="1"/>
  <c r="C16" i="5" l="1"/>
  <c r="E16" i="5" s="1"/>
  <c r="D16" i="5" l="1"/>
  <c r="F16" i="5" s="1"/>
  <c r="B17" i="5" s="1"/>
  <c r="C17" i="5" l="1"/>
  <c r="E17" i="5" s="1"/>
  <c r="D17" i="5" l="1"/>
  <c r="F17" i="5" s="1"/>
  <c r="B18" i="5" s="1"/>
  <c r="C18" i="5" l="1"/>
  <c r="E18" i="5" s="1"/>
  <c r="D18" i="5" l="1"/>
  <c r="F18" i="5" s="1"/>
  <c r="B19" i="5" s="1"/>
  <c r="C19" i="5" l="1"/>
  <c r="E19" i="5" s="1"/>
  <c r="D19" i="5" l="1"/>
  <c r="F19" i="5" s="1"/>
  <c r="B20" i="5" s="1"/>
  <c r="C20" i="5" l="1"/>
  <c r="E20" i="5" s="1"/>
  <c r="D20" i="5" l="1"/>
  <c r="F20" i="5" s="1"/>
  <c r="B21" i="5" s="1"/>
  <c r="C21" i="5" l="1"/>
  <c r="E21" i="5" s="1"/>
  <c r="D21" i="5" l="1"/>
  <c r="F21" i="5" s="1"/>
  <c r="B22" i="5" s="1"/>
  <c r="C22" i="5" l="1"/>
  <c r="E22" i="5" s="1"/>
  <c r="D22" i="5"/>
  <c r="F22" i="5" s="1"/>
  <c r="B23" i="5" s="1"/>
  <c r="C23" i="5" l="1"/>
  <c r="E23" i="5" s="1"/>
  <c r="D23" i="5" l="1"/>
  <c r="F23" i="5" s="1"/>
  <c r="B24" i="5" s="1"/>
  <c r="C24" i="5" l="1"/>
  <c r="E24" i="5" s="1"/>
  <c r="D24" i="5" l="1"/>
  <c r="F24" i="5" s="1"/>
  <c r="B25" i="5" s="1"/>
  <c r="C25" i="5" l="1"/>
  <c r="E25" i="5" s="1"/>
  <c r="D25" i="5" l="1"/>
  <c r="F25" i="5" s="1"/>
  <c r="B26" i="5" s="1"/>
  <c r="C26" i="5" l="1"/>
  <c r="E26" i="5" s="1"/>
  <c r="D26" i="5" l="1"/>
  <c r="F26" i="5" s="1"/>
  <c r="B27" i="5" s="1"/>
  <c r="C27" i="5" l="1"/>
  <c r="E27" i="5" s="1"/>
  <c r="D27" i="5" l="1"/>
  <c r="F27" i="5" s="1"/>
  <c r="B28" i="5" s="1"/>
  <c r="C28" i="5"/>
  <c r="E28" i="5" s="1"/>
  <c r="D28" i="5" l="1"/>
  <c r="F28" i="5" s="1"/>
  <c r="B29" i="5" s="1"/>
  <c r="C29" i="5" l="1"/>
  <c r="E29" i="5" s="1"/>
  <c r="D29" i="5" l="1"/>
  <c r="F29" i="5" s="1"/>
  <c r="B30" i="5" s="1"/>
  <c r="C30" i="5" l="1"/>
  <c r="E30" i="5" s="1"/>
  <c r="D30" i="5"/>
  <c r="F30" i="5" s="1"/>
  <c r="B31" i="5" s="1"/>
  <c r="C31" i="5" l="1"/>
  <c r="E31" i="5" s="1"/>
  <c r="D31" i="5" l="1"/>
  <c r="F31" i="5" s="1"/>
  <c r="B32" i="5" s="1"/>
  <c r="C32" i="5" l="1"/>
  <c r="E32" i="5" s="1"/>
  <c r="D32" i="5" l="1"/>
  <c r="F32" i="5" s="1"/>
  <c r="B33" i="5" s="1"/>
  <c r="C33" i="5" l="1"/>
  <c r="E33" i="5" s="1"/>
  <c r="D33" i="5" l="1"/>
  <c r="F33" i="5" s="1"/>
  <c r="B34" i="5" s="1"/>
  <c r="C34" i="5" l="1"/>
  <c r="E34" i="5" s="1"/>
  <c r="D34" i="5" l="1"/>
  <c r="F34" i="5" s="1"/>
  <c r="B35" i="5" s="1"/>
  <c r="C35" i="5"/>
  <c r="E35" i="5" s="1"/>
  <c r="D35" i="5" l="1"/>
  <c r="F35" i="5" s="1"/>
  <c r="B36" i="5" s="1"/>
  <c r="C36" i="5"/>
  <c r="E36" i="5" s="1"/>
  <c r="D36" i="5" l="1"/>
  <c r="F36" i="5" s="1"/>
  <c r="B37" i="5" s="1"/>
  <c r="C37" i="5"/>
  <c r="E37" i="5" s="1"/>
  <c r="D37" i="5" l="1"/>
  <c r="F37" i="5" s="1"/>
  <c r="B38" i="5" s="1"/>
  <c r="C38" i="5" l="1"/>
  <c r="E38" i="5" s="1"/>
  <c r="D38" i="5" l="1"/>
  <c r="F38" i="5" s="1"/>
  <c r="B39" i="5" s="1"/>
  <c r="C39" i="5" l="1"/>
  <c r="E39" i="5" s="1"/>
  <c r="D39" i="5" l="1"/>
  <c r="F39" i="5" s="1"/>
  <c r="B40" i="5" s="1"/>
  <c r="C40" i="5" l="1"/>
  <c r="E40" i="5" s="1"/>
  <c r="D40" i="5" l="1"/>
  <c r="F40" i="5" s="1"/>
  <c r="B41" i="5" s="1"/>
  <c r="C41" i="5" l="1"/>
  <c r="E41" i="5" s="1"/>
  <c r="D41" i="5" l="1"/>
  <c r="F41" i="5" s="1"/>
  <c r="B42" i="5" s="1"/>
  <c r="C42" i="5"/>
  <c r="E42" i="5" s="1"/>
  <c r="D42" i="5" l="1"/>
  <c r="F42" i="5" s="1"/>
  <c r="B43" i="5" s="1"/>
  <c r="C43" i="5"/>
  <c r="E43" i="5" s="1"/>
  <c r="D43" i="5" l="1"/>
  <c r="F43" i="5" s="1"/>
  <c r="B44" i="5" s="1"/>
  <c r="C44" i="5"/>
  <c r="E44" i="5" s="1"/>
  <c r="D44" i="5" l="1"/>
  <c r="F44" i="5" s="1"/>
  <c r="B45" i="5" s="1"/>
  <c r="C45" i="5"/>
  <c r="E45" i="5" s="1"/>
  <c r="D45" i="5" l="1"/>
  <c r="F45" i="5" s="1"/>
  <c r="B46" i="5" s="1"/>
  <c r="C46" i="5" l="1"/>
  <c r="E46" i="5" s="1"/>
  <c r="D46" i="5"/>
  <c r="F46" i="5" s="1"/>
  <c r="B47" i="5" s="1"/>
  <c r="C47" i="5" l="1"/>
  <c r="E47" i="5" s="1"/>
  <c r="D47" i="5" l="1"/>
  <c r="F47" i="5" s="1"/>
  <c r="B48" i="5" s="1"/>
  <c r="C48" i="5"/>
  <c r="E48" i="5" s="1"/>
  <c r="D48" i="5" l="1"/>
  <c r="F48" i="5" s="1"/>
  <c r="B49" i="5" s="1"/>
  <c r="C49" i="5"/>
  <c r="E49" i="5" s="1"/>
  <c r="D49" i="5" l="1"/>
  <c r="F49" i="5" s="1"/>
  <c r="B50" i="5" s="1"/>
  <c r="C50" i="5"/>
  <c r="E50" i="5" s="1"/>
  <c r="D50" i="5" l="1"/>
  <c r="F50" i="5" s="1"/>
  <c r="B51" i="5" s="1"/>
  <c r="C51" i="5"/>
  <c r="E51" i="5" s="1"/>
  <c r="D51" i="5" l="1"/>
  <c r="F51" i="5" s="1"/>
  <c r="B52" i="5" s="1"/>
  <c r="C52" i="5"/>
  <c r="E52" i="5" s="1"/>
  <c r="D52" i="5" l="1"/>
  <c r="F52" i="5" s="1"/>
  <c r="B53" i="5" s="1"/>
  <c r="C53" i="5" l="1"/>
  <c r="E53" i="5" s="1"/>
  <c r="D53" i="5" l="1"/>
  <c r="F53" i="5" s="1"/>
  <c r="B54" i="5" s="1"/>
  <c r="C54" i="5" l="1"/>
  <c r="E54" i="5" s="1"/>
  <c r="D54" i="5" l="1"/>
  <c r="F54" i="5" s="1"/>
  <c r="B55" i="5" s="1"/>
  <c r="C55" i="5"/>
  <c r="E55" i="5" s="1"/>
  <c r="D55" i="5" l="1"/>
  <c r="F55" i="5" s="1"/>
  <c r="B56" i="5" s="1"/>
  <c r="C56" i="5"/>
  <c r="E56" i="5" s="1"/>
  <c r="D56" i="5" l="1"/>
  <c r="F56" i="5" s="1"/>
  <c r="B57" i="5" s="1"/>
  <c r="C57" i="5" s="1"/>
  <c r="E57" i="5" l="1"/>
  <c r="D57" i="5"/>
  <c r="F57" i="5" s="1"/>
  <c r="B58" i="5" s="1"/>
  <c r="C58" i="5"/>
  <c r="E58" i="5" s="1"/>
  <c r="D58" i="5" l="1"/>
  <c r="F58" i="5" s="1"/>
  <c r="B59" i="5" s="1"/>
  <c r="C59" i="5" l="1"/>
  <c r="E59" i="5" s="1"/>
  <c r="D59" i="5" l="1"/>
  <c r="F59" i="5" s="1"/>
  <c r="B60" i="5" s="1"/>
  <c r="C60" i="5"/>
  <c r="E60" i="5" s="1"/>
  <c r="D60" i="5" l="1"/>
  <c r="F60" i="5" s="1"/>
  <c r="B61" i="5" s="1"/>
  <c r="C61" i="5"/>
  <c r="E61" i="5" s="1"/>
  <c r="D61" i="5" l="1"/>
  <c r="F61" i="5" s="1"/>
  <c r="B62" i="5" s="1"/>
  <c r="C62" i="5"/>
  <c r="E62" i="5" s="1"/>
  <c r="D62" i="5" l="1"/>
  <c r="F62" i="5" s="1"/>
  <c r="B63" i="5" s="1"/>
  <c r="C63" i="5" l="1"/>
  <c r="E63" i="5" s="1"/>
  <c r="D63" i="5" l="1"/>
  <c r="F63" i="5" s="1"/>
  <c r="B64" i="5" s="1"/>
  <c r="C64" i="5" l="1"/>
  <c r="E64" i="5" s="1"/>
  <c r="D64" i="5" l="1"/>
  <c r="F64" i="5" s="1"/>
  <c r="B65" i="5" s="1"/>
  <c r="C65" i="5" l="1"/>
  <c r="E65" i="5" s="1"/>
  <c r="D65" i="5" l="1"/>
  <c r="F65" i="5" s="1"/>
  <c r="B66" i="5" s="1"/>
  <c r="C66" i="5"/>
  <c r="E66" i="5" s="1"/>
  <c r="D66" i="5" l="1"/>
  <c r="F66" i="5" s="1"/>
  <c r="B67" i="5" s="1"/>
  <c r="C67" i="5"/>
  <c r="E67" i="5" s="1"/>
  <c r="D67" i="5" l="1"/>
  <c r="F67" i="5" s="1"/>
  <c r="B68" i="5" s="1"/>
  <c r="C68" i="5" l="1"/>
  <c r="E68" i="5" s="1"/>
  <c r="D68" i="5" l="1"/>
  <c r="F68" i="5" s="1"/>
  <c r="B69" i="5" s="1"/>
  <c r="C69" i="5" s="1"/>
  <c r="E69" i="5" s="1"/>
  <c r="D69" i="5" l="1"/>
  <c r="F69" i="5" s="1"/>
  <c r="B70" i="5" s="1"/>
  <c r="C70" i="5" l="1"/>
  <c r="E70" i="5" s="1"/>
  <c r="D70" i="5" l="1"/>
  <c r="F70" i="5" s="1"/>
  <c r="B71" i="5" s="1"/>
  <c r="C71" i="5" l="1"/>
  <c r="E71" i="5" s="1"/>
  <c r="D71" i="5" l="1"/>
  <c r="F71" i="5" s="1"/>
  <c r="B72" i="5" s="1"/>
  <c r="C72" i="5" l="1"/>
  <c r="E72" i="5" s="1"/>
  <c r="D72" i="5"/>
  <c r="F72" i="5" s="1"/>
  <c r="B73" i="5" s="1"/>
  <c r="C73" i="5" l="1"/>
  <c r="E73" i="5" s="1"/>
  <c r="D73" i="5"/>
  <c r="F73" i="5" s="1"/>
  <c r="B74" i="5" s="1"/>
  <c r="C74" i="5" l="1"/>
  <c r="E74" i="5" s="1"/>
  <c r="D74" i="5"/>
  <c r="F74" i="5" s="1"/>
  <c r="B75" i="5" s="1"/>
  <c r="C75" i="5" l="1"/>
  <c r="E75" i="5" s="1"/>
  <c r="D75" i="5" l="1"/>
  <c r="F75" i="5" s="1"/>
  <c r="B76" i="5" s="1"/>
  <c r="C76" i="5" l="1"/>
  <c r="E76" i="5" s="1"/>
  <c r="D76" i="5"/>
  <c r="F76" i="5" s="1"/>
  <c r="B77" i="5" s="1"/>
  <c r="C77" i="5" l="1"/>
  <c r="E77" i="5" s="1"/>
  <c r="D77" i="5"/>
  <c r="F77" i="5" s="1"/>
  <c r="B78" i="5" s="1"/>
  <c r="C78" i="5" l="1"/>
  <c r="E78" i="5" s="1"/>
  <c r="D78" i="5" l="1"/>
  <c r="F78" i="5" s="1"/>
  <c r="B79" i="5" s="1"/>
  <c r="C79" i="5" l="1"/>
  <c r="E79" i="5" s="1"/>
  <c r="D79" i="5"/>
  <c r="F79" i="5" s="1"/>
  <c r="B80" i="5" s="1"/>
  <c r="C80" i="5" l="1"/>
  <c r="E80" i="5" s="1"/>
  <c r="D80" i="5" l="1"/>
  <c r="F80" i="5" s="1"/>
  <c r="B81" i="5" s="1"/>
  <c r="C81" i="5"/>
  <c r="E81" i="5" s="1"/>
  <c r="D81" i="5" l="1"/>
  <c r="F81" i="5" s="1"/>
  <c r="B82" i="5" s="1"/>
  <c r="C82" i="5" l="1"/>
  <c r="E82" i="5" s="1"/>
  <c r="D82" i="5"/>
  <c r="F82" i="5" s="1"/>
  <c r="B83" i="5" s="1"/>
  <c r="C83" i="5" l="1"/>
  <c r="E83" i="5" s="1"/>
  <c r="D83" i="5"/>
  <c r="F83" i="5" s="1"/>
  <c r="B84" i="5" s="1"/>
  <c r="C84" i="5" l="1"/>
  <c r="E84" i="5" s="1"/>
  <c r="D84" i="5" l="1"/>
  <c r="F84" i="5" s="1"/>
  <c r="B85" i="5" s="1"/>
  <c r="C85" i="5" l="1"/>
  <c r="E85" i="5" s="1"/>
  <c r="D85" i="5" l="1"/>
  <c r="F85" i="5" s="1"/>
  <c r="B86" i="5" s="1"/>
  <c r="C86" i="5"/>
  <c r="E86" i="5" s="1"/>
  <c r="D86" i="5" l="1"/>
  <c r="F86" i="5" s="1"/>
  <c r="B87" i="5" s="1"/>
  <c r="C87" i="5"/>
  <c r="E87" i="5" s="1"/>
  <c r="D87" i="5" l="1"/>
  <c r="F87" i="5" s="1"/>
  <c r="B88" i="5" s="1"/>
  <c r="C88" i="5"/>
  <c r="E88" i="5" s="1"/>
  <c r="D88" i="5" l="1"/>
  <c r="F88" i="5" s="1"/>
  <c r="B89" i="5" s="1"/>
  <c r="C89" i="5" l="1"/>
  <c r="E89" i="5" s="1"/>
  <c r="D89" i="5" l="1"/>
  <c r="F89" i="5" s="1"/>
  <c r="B90" i="5" s="1"/>
  <c r="C90" i="5" l="1"/>
  <c r="E90" i="5" s="1"/>
  <c r="D90" i="5"/>
  <c r="F90" i="5" l="1"/>
  <c r="B91" i="5" s="1"/>
  <c r="F2" i="5"/>
  <c r="C91" i="5" l="1"/>
  <c r="E91" i="5" s="1"/>
  <c r="D91" i="5" l="1"/>
  <c r="F91" i="5" s="1"/>
  <c r="B92" i="5" s="1"/>
  <c r="C92" i="5" l="1"/>
  <c r="E92" i="5" s="1"/>
  <c r="D92" i="5" l="1"/>
  <c r="F92" i="5" s="1"/>
  <c r="B93" i="5" s="1"/>
  <c r="C93" i="5" l="1"/>
  <c r="E93" i="5" s="1"/>
  <c r="D93" i="5" l="1"/>
  <c r="F93" i="5" s="1"/>
  <c r="B94" i="5" s="1"/>
  <c r="C94" i="5" l="1"/>
  <c r="E94" i="5" s="1"/>
  <c r="D94" i="5"/>
  <c r="F94" i="5" s="1"/>
  <c r="B95" i="5" s="1"/>
  <c r="C95" i="5" l="1"/>
  <c r="E95" i="5" s="1"/>
  <c r="D95" i="5" l="1"/>
  <c r="F95" i="5" s="1"/>
  <c r="B96" i="5" s="1"/>
  <c r="C96" i="5"/>
  <c r="E96" i="5" s="1"/>
  <c r="D96" i="5"/>
  <c r="F96" i="5" s="1"/>
  <c r="B97" i="5" s="1"/>
  <c r="C97" i="5" l="1"/>
  <c r="E97" i="5" s="1"/>
  <c r="D97" i="5"/>
  <c r="F97" i="5" s="1"/>
  <c r="B98" i="5" s="1"/>
  <c r="C98" i="5" l="1"/>
  <c r="E98" i="5" s="1"/>
  <c r="D98" i="5" l="1"/>
  <c r="F98" i="5" s="1"/>
  <c r="B99" i="5" s="1"/>
  <c r="C99" i="5" l="1"/>
  <c r="E99" i="5" s="1"/>
  <c r="D99" i="5"/>
  <c r="F99" i="5" s="1"/>
  <c r="B100" i="5" s="1"/>
  <c r="C100" i="5" l="1"/>
  <c r="E100" i="5" s="1"/>
  <c r="D100" i="5" l="1"/>
  <c r="F100" i="5" s="1"/>
  <c r="B101" i="5" s="1"/>
  <c r="C101" i="5" l="1"/>
  <c r="E101" i="5" s="1"/>
  <c r="D101" i="5" l="1"/>
  <c r="F101" i="5" s="1"/>
  <c r="B102" i="5" s="1"/>
  <c r="C102" i="5" l="1"/>
  <c r="E102" i="5" s="1"/>
  <c r="D102" i="5" l="1"/>
  <c r="F102" i="5" s="1"/>
  <c r="B103" i="5" s="1"/>
  <c r="C103" i="5" l="1"/>
  <c r="E103" i="5" s="1"/>
  <c r="D103" i="5" l="1"/>
  <c r="F103" i="5" s="1"/>
  <c r="B104" i="5" s="1"/>
  <c r="C104" i="5" l="1"/>
  <c r="E104" i="5" s="1"/>
  <c r="D104" i="5"/>
  <c r="F104" i="5" s="1"/>
  <c r="B105" i="5" s="1"/>
  <c r="C105" i="5" l="1"/>
  <c r="E105" i="5" s="1"/>
  <c r="D105" i="5" l="1"/>
  <c r="F105" i="5" s="1"/>
  <c r="B106" i="5" s="1"/>
  <c r="C106" i="5" l="1"/>
  <c r="E106" i="5" s="1"/>
  <c r="D106" i="5" l="1"/>
  <c r="F106" i="5" s="1"/>
  <c r="B107" i="5" s="1"/>
  <c r="C107" i="5" l="1"/>
  <c r="E107" i="5" s="1"/>
  <c r="D107" i="5"/>
  <c r="F107" i="5" s="1"/>
  <c r="B108" i="5" s="1"/>
  <c r="C108" i="5" l="1"/>
  <c r="E108" i="5" s="1"/>
  <c r="D108" i="5"/>
  <c r="F108" i="5" s="1"/>
  <c r="B109" i="5" s="1"/>
  <c r="C109" i="5" l="1"/>
  <c r="E109" i="5" s="1"/>
  <c r="D109" i="5"/>
  <c r="F109" i="5" s="1"/>
  <c r="B110" i="5" s="1"/>
  <c r="C110" i="5" l="1"/>
  <c r="E110" i="5" s="1"/>
  <c r="D110" i="5"/>
  <c r="F110" i="5" s="1"/>
  <c r="B111" i="5" s="1"/>
  <c r="C111" i="5" l="1"/>
  <c r="E111" i="5" s="1"/>
  <c r="D111" i="5" l="1"/>
  <c r="F111" i="5" s="1"/>
  <c r="B112" i="5" s="1"/>
  <c r="C112" i="5"/>
  <c r="E112" i="5" s="1"/>
  <c r="D112" i="5" l="1"/>
  <c r="F112" i="5" s="1"/>
  <c r="B113" i="5" s="1"/>
  <c r="C113" i="5" s="1"/>
  <c r="E113" i="5" l="1"/>
  <c r="D113" i="5"/>
  <c r="F113" i="5" s="1"/>
  <c r="B114" i="5" s="1"/>
  <c r="C114" i="5"/>
  <c r="E114" i="5" s="1"/>
  <c r="D114" i="5" l="1"/>
  <c r="F114" i="5" s="1"/>
  <c r="B115" i="5" s="1"/>
  <c r="C115" i="5"/>
  <c r="E115" i="5" s="1"/>
  <c r="D115" i="5" l="1"/>
  <c r="F115" i="5" s="1"/>
  <c r="B116" i="5" s="1"/>
  <c r="C116" i="5"/>
  <c r="E116" i="5" s="1"/>
  <c r="D116" i="5" l="1"/>
  <c r="F116" i="5" s="1"/>
  <c r="B117" i="5" s="1"/>
  <c r="C117" i="5"/>
  <c r="E117" i="5" s="1"/>
  <c r="D117" i="5" l="1"/>
  <c r="F117" i="5" s="1"/>
  <c r="B118" i="5" s="1"/>
  <c r="C118" i="5" l="1"/>
  <c r="E118" i="5" s="1"/>
  <c r="D118" i="5" l="1"/>
  <c r="F118" i="5" s="1"/>
  <c r="B119" i="5" s="1"/>
  <c r="C119" i="5" l="1"/>
  <c r="E119" i="5" s="1"/>
  <c r="D119" i="5"/>
  <c r="F119" i="5" s="1"/>
  <c r="B120" i="5" s="1"/>
  <c r="C120" i="5" l="1"/>
  <c r="E120" i="5" s="1"/>
  <c r="D120" i="5"/>
  <c r="F120" i="5" s="1"/>
  <c r="B121" i="5" s="1"/>
  <c r="C121" i="5" l="1"/>
  <c r="E121" i="5" s="1"/>
  <c r="D121" i="5" l="1"/>
  <c r="F121" i="5" s="1"/>
  <c r="B122" i="5" s="1"/>
  <c r="C122" i="5" l="1"/>
  <c r="E122" i="5" s="1"/>
  <c r="D122" i="5" l="1"/>
  <c r="F122" i="5" s="1"/>
  <c r="B123" i="5" s="1"/>
  <c r="C123" i="5" l="1"/>
  <c r="E123" i="5" s="1"/>
  <c r="D123" i="5"/>
  <c r="F123" i="5" s="1"/>
  <c r="B124" i="5" s="1"/>
  <c r="C124" i="5" l="1"/>
  <c r="E124" i="5" s="1"/>
  <c r="D124" i="5" l="1"/>
  <c r="F124" i="5" s="1"/>
  <c r="B125" i="5" s="1"/>
  <c r="C125" i="5" l="1"/>
  <c r="E125" i="5" s="1"/>
  <c r="D125" i="5" l="1"/>
  <c r="F125" i="5" s="1"/>
  <c r="B126" i="5" s="1"/>
  <c r="C126" i="5" l="1"/>
  <c r="E126" i="5" s="1"/>
  <c r="D126" i="5"/>
  <c r="F126" i="5" s="1"/>
  <c r="B127" i="5" s="1"/>
  <c r="C127" i="5" l="1"/>
  <c r="E127" i="5" s="1"/>
  <c r="D127" i="5" l="1"/>
  <c r="F127" i="5" s="1"/>
  <c r="B128" i="5" s="1"/>
  <c r="C128" i="5" l="1"/>
  <c r="E128" i="5" s="1"/>
  <c r="D128" i="5"/>
  <c r="F128" i="5" s="1"/>
  <c r="B129" i="5" s="1"/>
  <c r="C129" i="5" l="1"/>
  <c r="E129" i="5" s="1"/>
  <c r="D129" i="5" l="1"/>
  <c r="F129" i="5" s="1"/>
  <c r="B130" i="5" s="1"/>
  <c r="C130" i="5" l="1"/>
  <c r="E130" i="5" s="1"/>
  <c r="D130" i="5" l="1"/>
  <c r="F130" i="5" s="1"/>
  <c r="B131" i="5" s="1"/>
  <c r="C131" i="5" l="1"/>
  <c r="E131" i="5" s="1"/>
  <c r="D131" i="5" l="1"/>
  <c r="F131" i="5" s="1"/>
  <c r="B132" i="5" s="1"/>
  <c r="C132" i="5" l="1"/>
  <c r="E132" i="5" s="1"/>
  <c r="D132" i="5"/>
  <c r="F132" i="5" s="1"/>
  <c r="B133" i="5" s="1"/>
  <c r="C133" i="5" l="1"/>
  <c r="E133" i="5" s="1"/>
  <c r="D133" i="5" l="1"/>
  <c r="F133" i="5" s="1"/>
  <c r="B134" i="5" s="1"/>
  <c r="C134" i="5" l="1"/>
  <c r="E134" i="5" s="1"/>
  <c r="D134" i="5" l="1"/>
  <c r="F134" i="5" s="1"/>
  <c r="B135" i="5" s="1"/>
  <c r="C135" i="5" l="1"/>
  <c r="E135" i="5" s="1"/>
  <c r="D135" i="5"/>
  <c r="F135" i="5" s="1"/>
  <c r="B136" i="5" s="1"/>
  <c r="C136" i="5" l="1"/>
  <c r="E136" i="5" s="1"/>
  <c r="D136" i="5"/>
  <c r="F136" i="5" s="1"/>
  <c r="B137" i="5" s="1"/>
  <c r="C137" i="5" l="1"/>
  <c r="E137" i="5" s="1"/>
  <c r="D137" i="5" l="1"/>
  <c r="F137" i="5" s="1"/>
  <c r="B138" i="5" s="1"/>
  <c r="C138" i="5" l="1"/>
  <c r="E138" i="5" s="1"/>
  <c r="D138" i="5"/>
  <c r="F138" i="5" s="1"/>
  <c r="B139" i="5" s="1"/>
  <c r="C139" i="5" l="1"/>
  <c r="E139" i="5" s="1"/>
  <c r="D139" i="5" l="1"/>
  <c r="F139" i="5" s="1"/>
  <c r="B140" i="5" s="1"/>
  <c r="C140" i="5" l="1"/>
  <c r="E140" i="5" s="1"/>
  <c r="D140" i="5" l="1"/>
  <c r="F140" i="5" s="1"/>
  <c r="B141" i="5" s="1"/>
  <c r="C141" i="5" l="1"/>
  <c r="E141" i="5" s="1"/>
  <c r="D141" i="5" l="1"/>
  <c r="F141" i="5" s="1"/>
  <c r="B142" i="5" s="1"/>
  <c r="C142" i="5" l="1"/>
  <c r="E142" i="5" s="1"/>
  <c r="D142" i="5"/>
  <c r="F142" i="5" s="1"/>
  <c r="B143" i="5" s="1"/>
  <c r="C143" i="5" l="1"/>
  <c r="E143" i="5" s="1"/>
  <c r="D143" i="5" l="1"/>
  <c r="F143" i="5" s="1"/>
  <c r="B144" i="5" s="1"/>
  <c r="C144" i="5" l="1"/>
  <c r="E144" i="5" s="1"/>
  <c r="D144" i="5" l="1"/>
  <c r="F144" i="5" s="1"/>
  <c r="B145" i="5" s="1"/>
  <c r="C145" i="5" l="1"/>
  <c r="E145" i="5" s="1"/>
  <c r="D145" i="5" l="1"/>
  <c r="F145" i="5" s="1"/>
  <c r="B146" i="5" s="1"/>
  <c r="C146" i="5" l="1"/>
  <c r="E146" i="5" s="1"/>
  <c r="D146" i="5" l="1"/>
  <c r="F146" i="5" s="1"/>
  <c r="B147" i="5" s="1"/>
  <c r="C147" i="5" l="1"/>
  <c r="E147" i="5" s="1"/>
  <c r="D147" i="5" l="1"/>
  <c r="F147" i="5" s="1"/>
  <c r="B148" i="5" s="1"/>
  <c r="C148" i="5" l="1"/>
  <c r="E148" i="5" s="1"/>
  <c r="D148" i="5" l="1"/>
  <c r="F148" i="5" s="1"/>
  <c r="B149" i="5" s="1"/>
  <c r="C149" i="5" l="1"/>
  <c r="E149" i="5" s="1"/>
  <c r="D149" i="5" l="1"/>
  <c r="F149" i="5" s="1"/>
  <c r="B150" i="5" s="1"/>
  <c r="C150" i="5" l="1"/>
  <c r="E150" i="5" s="1"/>
  <c r="D150" i="5"/>
  <c r="F150" i="5" s="1"/>
  <c r="B151" i="5" s="1"/>
  <c r="C151" i="5" l="1"/>
  <c r="E151" i="5" s="1"/>
  <c r="D151" i="5" l="1"/>
  <c r="F151" i="5" s="1"/>
  <c r="B152" i="5" s="1"/>
  <c r="C152" i="5"/>
  <c r="E152" i="5" s="1"/>
  <c r="D152" i="5" l="1"/>
  <c r="F152" i="5" s="1"/>
  <c r="B153" i="5" s="1"/>
  <c r="C153" i="5"/>
  <c r="E153" i="5" s="1"/>
  <c r="D153" i="5" l="1"/>
  <c r="F153" i="5" s="1"/>
  <c r="B154" i="5" s="1"/>
  <c r="C154" i="5"/>
  <c r="E154" i="5" s="1"/>
  <c r="D154" i="5" l="1"/>
  <c r="F154" i="5" s="1"/>
  <c r="B155" i="5" s="1"/>
  <c r="C155" i="5" l="1"/>
  <c r="E155" i="5" s="1"/>
  <c r="D155" i="5" l="1"/>
  <c r="F155" i="5" s="1"/>
  <c r="B156" i="5" s="1"/>
  <c r="C156" i="5" l="1"/>
  <c r="E156" i="5" s="1"/>
  <c r="D156" i="5" l="1"/>
  <c r="F156" i="5" s="1"/>
  <c r="B157" i="5" s="1"/>
  <c r="C157" i="5"/>
  <c r="E157" i="5" s="1"/>
  <c r="D157" i="5"/>
  <c r="F157" i="5" s="1"/>
  <c r="B158" i="5" s="1"/>
  <c r="C158" i="5" l="1"/>
  <c r="E158" i="5" s="1"/>
  <c r="D158" i="5" l="1"/>
  <c r="F158" i="5" s="1"/>
  <c r="B159" i="5" s="1"/>
  <c r="C159" i="5" l="1"/>
  <c r="E159" i="5" s="1"/>
  <c r="D159" i="5"/>
  <c r="F159" i="5" s="1"/>
  <c r="B160" i="5" s="1"/>
  <c r="C160" i="5" l="1"/>
  <c r="E160" i="5" s="1"/>
  <c r="D160" i="5"/>
  <c r="F160" i="5" s="1"/>
  <c r="B161" i="5" s="1"/>
  <c r="C161" i="5" l="1"/>
  <c r="E161" i="5" s="1"/>
  <c r="D161" i="5" l="1"/>
  <c r="F161" i="5" s="1"/>
  <c r="B162" i="5" s="1"/>
  <c r="C162" i="5"/>
  <c r="E162" i="5" s="1"/>
  <c r="D162" i="5" l="1"/>
  <c r="F162" i="5" s="1"/>
  <c r="B163" i="5" s="1"/>
  <c r="C163" i="5"/>
  <c r="E163" i="5" s="1"/>
  <c r="D163" i="5" l="1"/>
  <c r="F163" i="5" s="1"/>
  <c r="B164" i="5" s="1"/>
  <c r="C164" i="5"/>
  <c r="E164" i="5" s="1"/>
  <c r="D164" i="5" l="1"/>
  <c r="F164" i="5" s="1"/>
  <c r="B165" i="5" s="1"/>
  <c r="C165" i="5"/>
  <c r="E165" i="5" s="1"/>
  <c r="D165" i="5" l="1"/>
  <c r="F165" i="5" s="1"/>
  <c r="B166" i="5" s="1"/>
  <c r="C166" i="5"/>
  <c r="E166" i="5" s="1"/>
  <c r="D166" i="5" l="1"/>
  <c r="F166" i="5" s="1"/>
  <c r="B167" i="5" s="1"/>
  <c r="C167" i="5" l="1"/>
  <c r="E167" i="5" s="1"/>
  <c r="D167" i="5" l="1"/>
  <c r="F167" i="5" s="1"/>
  <c r="B168" i="5" s="1"/>
  <c r="C168" i="5" l="1"/>
  <c r="E168" i="5" s="1"/>
  <c r="D168" i="5" l="1"/>
  <c r="F168" i="5" s="1"/>
  <c r="B169" i="5" s="1"/>
  <c r="C169" i="5" l="1"/>
  <c r="E169" i="5" s="1"/>
  <c r="D169" i="5" l="1"/>
  <c r="F169" i="5" s="1"/>
  <c r="B170" i="5" s="1"/>
  <c r="C170" i="5" l="1"/>
  <c r="E170" i="5" s="1"/>
  <c r="D170" i="5" l="1"/>
  <c r="F170" i="5" s="1"/>
  <c r="B171" i="5" s="1"/>
  <c r="C171" i="5" l="1"/>
  <c r="E171" i="5" s="1"/>
  <c r="D171" i="5"/>
  <c r="F171" i="5" s="1"/>
  <c r="B172" i="5" s="1"/>
  <c r="C172" i="5" l="1"/>
  <c r="E172" i="5" s="1"/>
  <c r="D172" i="5" l="1"/>
  <c r="F172" i="5" s="1"/>
  <c r="B173" i="5" s="1"/>
  <c r="C173" i="5" l="1"/>
  <c r="E173" i="5" s="1"/>
  <c r="D173" i="5" l="1"/>
  <c r="F173" i="5" s="1"/>
  <c r="B174" i="5" s="1"/>
  <c r="C174" i="5" l="1"/>
  <c r="E174" i="5" s="1"/>
  <c r="D174" i="5" l="1"/>
  <c r="F174" i="5" s="1"/>
  <c r="B175" i="5" s="1"/>
  <c r="C175" i="5"/>
  <c r="E175" i="5" s="1"/>
  <c r="D175" i="5" l="1"/>
  <c r="F175" i="5" s="1"/>
  <c r="B176" i="5" s="1"/>
  <c r="C176" i="5" l="1"/>
  <c r="E176" i="5" s="1"/>
  <c r="D176" i="5" l="1"/>
  <c r="F176" i="5" s="1"/>
  <c r="B177" i="5" s="1"/>
  <c r="C177" i="5"/>
  <c r="E177" i="5" s="1"/>
  <c r="D177" i="5" l="1"/>
  <c r="F177" i="5" s="1"/>
  <c r="B178" i="5" s="1"/>
  <c r="C178" i="5" l="1"/>
  <c r="E178" i="5" s="1"/>
  <c r="D178" i="5" l="1"/>
  <c r="F178" i="5" s="1"/>
  <c r="B179" i="5" s="1"/>
  <c r="C179" i="5" l="1"/>
  <c r="E179" i="5" s="1"/>
  <c r="D179" i="5" l="1"/>
  <c r="F179" i="5" s="1"/>
  <c r="B180" i="5" s="1"/>
  <c r="C180" i="5" l="1"/>
  <c r="E180" i="5" s="1"/>
  <c r="D180" i="5" l="1"/>
  <c r="F180" i="5" s="1"/>
  <c r="B181" i="5" s="1"/>
  <c r="C181" i="5" l="1"/>
  <c r="E181" i="5" s="1"/>
  <c r="D181" i="5" l="1"/>
  <c r="F181" i="5" s="1"/>
  <c r="B182" i="5" s="1"/>
  <c r="C182" i="5" l="1"/>
  <c r="E182" i="5" s="1"/>
  <c r="D182" i="5"/>
  <c r="F182" i="5" s="1"/>
  <c r="B183" i="5" s="1"/>
  <c r="C183" i="5" l="1"/>
  <c r="E183" i="5" s="1"/>
  <c r="D183" i="5" l="1"/>
  <c r="F183" i="5" s="1"/>
  <c r="B184" i="5" s="1"/>
  <c r="C184" i="5" l="1"/>
  <c r="E184" i="5" s="1"/>
  <c r="D184" i="5" l="1"/>
  <c r="F184" i="5" s="1"/>
  <c r="B185" i="5" s="1"/>
  <c r="C185" i="5" l="1"/>
  <c r="E185" i="5" s="1"/>
  <c r="D185" i="5" l="1"/>
  <c r="F185" i="5" s="1"/>
  <c r="B186" i="5" s="1"/>
  <c r="C186" i="5" l="1"/>
  <c r="E186" i="5" s="1"/>
  <c r="D186" i="5" l="1"/>
  <c r="F186" i="5" s="1"/>
  <c r="B187" i="5" s="1"/>
  <c r="C187" i="5" l="1"/>
  <c r="E187" i="5" s="1"/>
  <c r="D187" i="5" l="1"/>
  <c r="F187" i="5" s="1"/>
  <c r="B188" i="5" s="1"/>
  <c r="C188" i="5" l="1"/>
  <c r="E188" i="5" s="1"/>
  <c r="D188" i="5" l="1"/>
  <c r="F188" i="5" s="1"/>
  <c r="B189" i="5" s="1"/>
  <c r="C189" i="5" l="1"/>
  <c r="E189" i="5" s="1"/>
  <c r="D189" i="5" l="1"/>
  <c r="F189" i="5" s="1"/>
  <c r="B190" i="5" s="1"/>
  <c r="C190" i="5" l="1"/>
  <c r="E190" i="5" s="1"/>
  <c r="D190" i="5"/>
  <c r="F190" i="5" s="1"/>
  <c r="B191" i="5" s="1"/>
  <c r="C191" i="5" l="1"/>
  <c r="E191" i="5" s="1"/>
  <c r="D191" i="5" l="1"/>
  <c r="F191" i="5" s="1"/>
  <c r="B192" i="5" s="1"/>
  <c r="C192" i="5" l="1"/>
  <c r="E192" i="5" s="1"/>
  <c r="D192" i="5" l="1"/>
  <c r="F192" i="5" s="1"/>
  <c r="B193" i="5" s="1"/>
  <c r="C193" i="5" l="1"/>
  <c r="E193" i="5" s="1"/>
  <c r="D193" i="5" l="1"/>
  <c r="F193" i="5" s="1"/>
  <c r="B194" i="5" s="1"/>
  <c r="C194" i="5" l="1"/>
  <c r="E194" i="5" s="1"/>
  <c r="D194" i="5" l="1"/>
  <c r="F194" i="5" s="1"/>
  <c r="B195" i="5" s="1"/>
  <c r="C195" i="5" l="1"/>
  <c r="E195" i="5" s="1"/>
  <c r="D195" i="5" l="1"/>
  <c r="F195" i="5" s="1"/>
  <c r="B196" i="5" s="1"/>
  <c r="C196" i="5" l="1"/>
  <c r="E196" i="5" s="1"/>
  <c r="D196" i="5" l="1"/>
  <c r="F196" i="5" s="1"/>
  <c r="B197" i="5" s="1"/>
  <c r="C197" i="5" l="1"/>
  <c r="E197" i="5" s="1"/>
  <c r="D197" i="5" l="1"/>
  <c r="F197" i="5" s="1"/>
  <c r="B198" i="5" s="1"/>
  <c r="C198" i="5" l="1"/>
  <c r="E198" i="5" s="1"/>
  <c r="D198" i="5"/>
  <c r="F198" i="5" s="1"/>
  <c r="B199" i="5" s="1"/>
  <c r="C199" i="5" l="1"/>
  <c r="E199" i="5" s="1"/>
  <c r="D199" i="5" l="1"/>
  <c r="F199" i="5" s="1"/>
  <c r="B200" i="5" s="1"/>
  <c r="C200" i="5" l="1"/>
  <c r="E200" i="5" s="1"/>
  <c r="D200" i="5" l="1"/>
  <c r="F200" i="5" s="1"/>
  <c r="B201" i="5" s="1"/>
  <c r="C201" i="5" l="1"/>
  <c r="E201" i="5" s="1"/>
  <c r="D201" i="5" l="1"/>
  <c r="F201" i="5" s="1"/>
  <c r="B202" i="5" s="1"/>
  <c r="C202" i="5" l="1"/>
  <c r="E202" i="5" s="1"/>
  <c r="D202" i="5" l="1"/>
  <c r="F202" i="5" s="1"/>
  <c r="B203" i="5" s="1"/>
  <c r="C203" i="5" l="1"/>
  <c r="E203" i="5" s="1"/>
  <c r="D203" i="5" l="1"/>
  <c r="F203" i="5" s="1"/>
  <c r="B204" i="5" s="1"/>
  <c r="C204" i="5" l="1"/>
  <c r="E204" i="5" s="1"/>
  <c r="D204" i="5" l="1"/>
  <c r="F204" i="5" s="1"/>
  <c r="B205" i="5" s="1"/>
  <c r="C205" i="5" l="1"/>
  <c r="E205" i="5" s="1"/>
  <c r="D205" i="5" l="1"/>
  <c r="F205" i="5" s="1"/>
  <c r="B206" i="5" s="1"/>
  <c r="C206" i="5" l="1"/>
  <c r="E206" i="5" s="1"/>
  <c r="D206" i="5" l="1"/>
  <c r="F206" i="5" s="1"/>
  <c r="B207" i="5" s="1"/>
  <c r="C207" i="5" l="1"/>
  <c r="E207" i="5" s="1"/>
  <c r="D207" i="5" l="1"/>
  <c r="F207" i="5" s="1"/>
  <c r="B208" i="5" s="1"/>
  <c r="C208" i="5" l="1"/>
  <c r="E208" i="5" s="1"/>
  <c r="D208" i="5" l="1"/>
  <c r="F208" i="5" s="1"/>
  <c r="B209" i="5" s="1"/>
  <c r="C209" i="5" l="1"/>
  <c r="E209" i="5" s="1"/>
  <c r="D209" i="5" l="1"/>
  <c r="F209" i="5" s="1"/>
  <c r="B210" i="5" s="1"/>
  <c r="C210" i="5" l="1"/>
  <c r="E210" i="5" s="1"/>
  <c r="D210" i="5" l="1"/>
  <c r="F210" i="5" s="1"/>
  <c r="B211" i="5" s="1"/>
  <c r="C211" i="5" l="1"/>
  <c r="E211" i="5" s="1"/>
  <c r="D211" i="5" l="1"/>
  <c r="F211" i="5" s="1"/>
  <c r="B212" i="5" s="1"/>
  <c r="C212" i="5" l="1"/>
  <c r="E212" i="5" s="1"/>
  <c r="D212" i="5" l="1"/>
  <c r="F212" i="5" s="1"/>
  <c r="B213" i="5" s="1"/>
  <c r="C213" i="5" l="1"/>
  <c r="E213" i="5" s="1"/>
  <c r="D213" i="5" l="1"/>
  <c r="F213" i="5" s="1"/>
  <c r="B214" i="5" s="1"/>
  <c r="C214" i="5"/>
  <c r="E214" i="5" s="1"/>
  <c r="D214" i="5" l="1"/>
  <c r="F214" i="5" s="1"/>
  <c r="B215" i="5" s="1"/>
  <c r="C215" i="5" l="1"/>
  <c r="E215" i="5" s="1"/>
  <c r="D215" i="5" l="1"/>
  <c r="F215" i="5" s="1"/>
  <c r="B216" i="5" s="1"/>
  <c r="C216" i="5" l="1"/>
  <c r="E216" i="5" s="1"/>
  <c r="D216" i="5" l="1"/>
  <c r="F216" i="5" s="1"/>
  <c r="B217" i="5" s="1"/>
  <c r="C217" i="5" l="1"/>
  <c r="E217" i="5" s="1"/>
  <c r="D217" i="5" l="1"/>
  <c r="F217" i="5" s="1"/>
  <c r="B218" i="5" s="1"/>
  <c r="C218" i="5" l="1"/>
  <c r="E218" i="5" s="1"/>
  <c r="D218" i="5" l="1"/>
  <c r="F218" i="5" s="1"/>
  <c r="B219" i="5" s="1"/>
  <c r="C219" i="5" l="1"/>
  <c r="E219" i="5" s="1"/>
  <c r="D219" i="5" l="1"/>
  <c r="F219" i="5" s="1"/>
  <c r="B220" i="5" s="1"/>
  <c r="C220" i="5" l="1"/>
  <c r="E220" i="5" s="1"/>
  <c r="D220" i="5" l="1"/>
  <c r="F220" i="5" s="1"/>
  <c r="B221" i="5" s="1"/>
  <c r="C221" i="5" l="1"/>
  <c r="E221" i="5" s="1"/>
  <c r="D221" i="5" l="1"/>
  <c r="F221" i="5" s="1"/>
  <c r="B222" i="5" s="1"/>
  <c r="C222" i="5" l="1"/>
  <c r="E222" i="5" s="1"/>
  <c r="D222" i="5" l="1"/>
  <c r="F222" i="5" s="1"/>
  <c r="B223" i="5" s="1"/>
  <c r="C223" i="5" l="1"/>
  <c r="E223" i="5" s="1"/>
  <c r="D223" i="5" l="1"/>
  <c r="F223" i="5" s="1"/>
  <c r="B224" i="5" s="1"/>
  <c r="C224" i="5" l="1"/>
  <c r="E224" i="5" s="1"/>
  <c r="D224" i="5" l="1"/>
  <c r="F224" i="5" s="1"/>
  <c r="B225" i="5" s="1"/>
  <c r="C225" i="5" l="1"/>
  <c r="E225" i="5" s="1"/>
  <c r="D225" i="5" l="1"/>
  <c r="F225" i="5" s="1"/>
  <c r="B226" i="5" s="1"/>
  <c r="C226" i="5" l="1"/>
  <c r="E226" i="5" s="1"/>
  <c r="D226" i="5"/>
  <c r="F226" i="5" s="1"/>
  <c r="B227" i="5" s="1"/>
  <c r="C227" i="5" l="1"/>
  <c r="E227" i="5" s="1"/>
  <c r="D227" i="5" l="1"/>
  <c r="F227" i="5" s="1"/>
  <c r="B228" i="5" s="1"/>
  <c r="C228" i="5" l="1"/>
  <c r="E228" i="5" s="1"/>
  <c r="D228" i="5" l="1"/>
  <c r="F228" i="5" s="1"/>
  <c r="B229" i="5" s="1"/>
  <c r="C229" i="5" l="1"/>
  <c r="E229" i="5" s="1"/>
  <c r="D229" i="5" l="1"/>
  <c r="F229" i="5" s="1"/>
  <c r="B230" i="5" s="1"/>
  <c r="C230" i="5" l="1"/>
  <c r="E230" i="5" s="1"/>
  <c r="D230" i="5" l="1"/>
  <c r="F230" i="5" s="1"/>
  <c r="B231" i="5" s="1"/>
  <c r="C231" i="5" l="1"/>
  <c r="E231" i="5" s="1"/>
  <c r="D231" i="5" l="1"/>
  <c r="F231" i="5" s="1"/>
  <c r="B232" i="5" s="1"/>
  <c r="C232" i="5"/>
  <c r="E232" i="5" s="1"/>
  <c r="D232" i="5" l="1"/>
  <c r="F232" i="5" s="1"/>
  <c r="B233" i="5" s="1"/>
  <c r="C233" i="5"/>
  <c r="E233" i="5" s="1"/>
  <c r="D233" i="5" l="1"/>
  <c r="F233" i="5" s="1"/>
  <c r="B234" i="5" s="1"/>
  <c r="C234" i="5" s="1"/>
  <c r="E234" i="5" s="1"/>
  <c r="D234" i="5" l="1"/>
  <c r="F234" i="5" s="1"/>
  <c r="B235" i="5" s="1"/>
  <c r="C235" i="5" l="1"/>
  <c r="E235" i="5" s="1"/>
  <c r="D235" i="5" l="1"/>
  <c r="F235" i="5" s="1"/>
  <c r="B236" i="5" s="1"/>
  <c r="C236" i="5" l="1"/>
  <c r="E236" i="5" s="1"/>
  <c r="D236" i="5" l="1"/>
  <c r="F236" i="5" s="1"/>
  <c r="B237" i="5" s="1"/>
  <c r="C237" i="5" l="1"/>
  <c r="E237" i="5" s="1"/>
  <c r="D237" i="5" l="1"/>
  <c r="F237" i="5" s="1"/>
  <c r="B238" i="5" s="1"/>
  <c r="C238" i="5" l="1"/>
  <c r="E238" i="5" s="1"/>
  <c r="D238" i="5" l="1"/>
  <c r="F238" i="5" s="1"/>
  <c r="B239" i="5" s="1"/>
  <c r="C239" i="5"/>
  <c r="E239" i="5" s="1"/>
  <c r="D239" i="5" l="1"/>
  <c r="F239" i="5" s="1"/>
  <c r="B240" i="5" s="1"/>
  <c r="C240" i="5"/>
  <c r="E240" i="5" s="1"/>
  <c r="D240" i="5" l="1"/>
  <c r="F240" i="5" s="1"/>
  <c r="B241" i="5" s="1"/>
  <c r="C241" i="5"/>
  <c r="E241" i="5" s="1"/>
  <c r="D241" i="5" l="1"/>
  <c r="F241" i="5" s="1"/>
  <c r="B242" i="5" s="1"/>
  <c r="C242" i="5" l="1"/>
  <c r="E242" i="5" s="1"/>
  <c r="D242" i="5" l="1"/>
  <c r="F242" i="5" s="1"/>
  <c r="B243" i="5" s="1"/>
  <c r="C243" i="5" l="1"/>
  <c r="E243" i="5" s="1"/>
  <c r="D243" i="5"/>
  <c r="F243" i="5" s="1"/>
  <c r="B244" i="5" s="1"/>
  <c r="C244" i="5" l="1"/>
  <c r="E244" i="5" s="1"/>
  <c r="D244" i="5" l="1"/>
  <c r="F244" i="5" s="1"/>
  <c r="B245" i="5" s="1"/>
  <c r="C245" i="5"/>
  <c r="E245" i="5" s="1"/>
  <c r="D245" i="5" l="1"/>
  <c r="F245" i="5" s="1"/>
  <c r="B246" i="5" s="1"/>
  <c r="C246" i="5" l="1"/>
  <c r="E246" i="5" s="1"/>
  <c r="D246" i="5" l="1"/>
  <c r="F246" i="5" s="1"/>
  <c r="F4" i="5" s="1"/>
</calcChain>
</file>

<file path=xl/sharedStrings.xml><?xml version="1.0" encoding="utf-8"?>
<sst xmlns="http://schemas.openxmlformats.org/spreadsheetml/2006/main" count="288" uniqueCount="205">
  <si>
    <t>PROJECTED MONTHLY INCOME</t>
  </si>
  <si>
    <t>Extra income</t>
  </si>
  <si>
    <t>Total monthly income</t>
  </si>
  <si>
    <t>ACTUAL MONTHLY INCOME</t>
  </si>
  <si>
    <t>HOUSING</t>
  </si>
  <si>
    <t>Projected Cost</t>
  </si>
  <si>
    <t>Actual Cost</t>
  </si>
  <si>
    <t>Difference</t>
  </si>
  <si>
    <t>ENTERTAINMENT</t>
  </si>
  <si>
    <t>Mortgage or rent</t>
  </si>
  <si>
    <t>Electricity</t>
  </si>
  <si>
    <t>Movies</t>
  </si>
  <si>
    <t>Gas</t>
  </si>
  <si>
    <t>Concerts</t>
  </si>
  <si>
    <t>Water and sewer</t>
  </si>
  <si>
    <t>Sporting events</t>
  </si>
  <si>
    <t>Cable</t>
  </si>
  <si>
    <t>Live theater</t>
  </si>
  <si>
    <t>Waste removal</t>
  </si>
  <si>
    <t>Other</t>
  </si>
  <si>
    <t>Supplies</t>
  </si>
  <si>
    <t>LOANS</t>
  </si>
  <si>
    <t>TRANSPORTATION</t>
  </si>
  <si>
    <t>Personal</t>
  </si>
  <si>
    <t>Student</t>
  </si>
  <si>
    <t>Bus/taxi fare</t>
  </si>
  <si>
    <t>Insurance</t>
  </si>
  <si>
    <t>Licensing</t>
  </si>
  <si>
    <t>Fuel</t>
  </si>
  <si>
    <t>Maintenance</t>
  </si>
  <si>
    <t>TAXES</t>
  </si>
  <si>
    <t>INSURANCE</t>
  </si>
  <si>
    <t>Home</t>
  </si>
  <si>
    <t>Health</t>
  </si>
  <si>
    <t>Life</t>
  </si>
  <si>
    <t>SAVINGS OR INVESTMENTS</t>
  </si>
  <si>
    <t>Retirement account</t>
  </si>
  <si>
    <t>FOOD</t>
  </si>
  <si>
    <t>Investment account</t>
  </si>
  <si>
    <t>Groceries</t>
  </si>
  <si>
    <t>Dining out</t>
  </si>
  <si>
    <t>GIFTS AND DONATIONS</t>
  </si>
  <si>
    <t>Charity 1</t>
  </si>
  <si>
    <t>PETS</t>
  </si>
  <si>
    <t>Charity 2</t>
  </si>
  <si>
    <t>Food</t>
  </si>
  <si>
    <t>Charity 3</t>
  </si>
  <si>
    <t>Medical</t>
  </si>
  <si>
    <t>Grooming</t>
  </si>
  <si>
    <t>Toys</t>
  </si>
  <si>
    <t>LEGAL</t>
  </si>
  <si>
    <t>Attorney</t>
  </si>
  <si>
    <t>Alimony</t>
  </si>
  <si>
    <t>Payments on lien or judgment</t>
  </si>
  <si>
    <t>PERSONAL CARE</t>
  </si>
  <si>
    <t>Hair/nails</t>
  </si>
  <si>
    <t>Clothing</t>
  </si>
  <si>
    <t>TOTAL PROJECTED COST</t>
  </si>
  <si>
    <t>Dry cleaning</t>
  </si>
  <si>
    <t>Health club</t>
  </si>
  <si>
    <t>TOTAL ACTUAL COST</t>
  </si>
  <si>
    <t>TOTAL DIFFERENCE</t>
  </si>
  <si>
    <t>Subtotal</t>
  </si>
  <si>
    <t>PERSONAL MONTHLY BUDGET</t>
  </si>
  <si>
    <t>PROJECTED BALANCE 
(Projected income minus expenses)</t>
  </si>
  <si>
    <t>ACTUAL BALANCE 
(Actual income minus expenses)</t>
  </si>
  <si>
    <t>DIFFERENCE 
(Actual minus projected)</t>
  </si>
  <si>
    <t>Title of this worksheet is in cell at right. Next instruction is in cell A4.</t>
  </si>
  <si>
    <t>Projected Monthly Income label is in cell at right. Enter Income 1 in cell E4 and Extra Income in E5 to calculate Total monthly income in E6. Next instruction is in cell A6.</t>
  </si>
  <si>
    <t>Projected Balance is auto calculated in cell J4, Actual Balance in J6, and Difference in J8. Next instruction is in cell A8.</t>
  </si>
  <si>
    <t>Actual Monthly Income label is in cell at right. Enter Income 1 in cell E8 and Extra Income in E9 to calculate Total monthly income in E10. Next instruction is in cell A12.</t>
  </si>
  <si>
    <t>Enter details in Housing table starting in cell at right and in Entertainment table starting in cell G12. Next instruction is in cell A25.</t>
  </si>
  <si>
    <t>Enter details in Transportation table starting in cell at right and in Loans table starting in cell G24. Next instruction is in cell A35.</t>
  </si>
  <si>
    <t>Enter details in Insurance table starting in cell at right and in Taxes table starting in cell G33. Next instruction is in cell A42.</t>
  </si>
  <si>
    <t>Enter details in Food table starting in cell at right and in Savings table starting in cell G40. Next instruction is in cell A48.</t>
  </si>
  <si>
    <t>Enter details in Pets table starting in cell at right and in Gifts table starting in cell G46. Next instruction is in cell A56.</t>
  </si>
  <si>
    <t>Enter details in Personal Care table starting in cell at right and in Legal table starting in cell G52. Next instruction is in cell A59.</t>
  </si>
  <si>
    <t>Total Projected Cost is auto calculated in cell J59, Total Actual Cost in J61, and Total Difference in J63.</t>
  </si>
  <si>
    <t>Night out</t>
  </si>
  <si>
    <t>Music platforms</t>
  </si>
  <si>
    <t>Phone/Internet</t>
  </si>
  <si>
    <t>Maintenance/repairs</t>
  </si>
  <si>
    <t>Vehicle Installment</t>
  </si>
  <si>
    <t>Auto</t>
  </si>
  <si>
    <t>Medical Expenses</t>
  </si>
  <si>
    <t>Organization dues/fees</t>
  </si>
  <si>
    <t>Credit card-Bank 1</t>
  </si>
  <si>
    <t>Credit card-Bank 2</t>
  </si>
  <si>
    <t>Credit card Bank-3</t>
  </si>
  <si>
    <t>Payday Loans</t>
  </si>
  <si>
    <t>Provincial Tax</t>
  </si>
  <si>
    <t>Federal Tax</t>
  </si>
  <si>
    <t xml:space="preserve">Municipal Tax </t>
  </si>
  <si>
    <t>Personal Monthly Budget Guide</t>
  </si>
  <si>
    <t>Tax Free/First Home Saving Acc.</t>
  </si>
  <si>
    <t>Housing</t>
  </si>
  <si>
    <t xml:space="preserve">Entertainment </t>
  </si>
  <si>
    <t xml:space="preserve">Transportation </t>
  </si>
  <si>
    <t>Loan</t>
  </si>
  <si>
    <t>Taxes</t>
  </si>
  <si>
    <t xml:space="preserve">Food </t>
  </si>
  <si>
    <t>Pets</t>
  </si>
  <si>
    <t>Gift and Donation</t>
  </si>
  <si>
    <t>Personal Care</t>
  </si>
  <si>
    <t>Legal</t>
  </si>
  <si>
    <t>Saving/Investment</t>
  </si>
  <si>
    <t>Your and Partner's Income</t>
  </si>
  <si>
    <t>Vacation-1</t>
  </si>
  <si>
    <t>Vacation-2</t>
  </si>
  <si>
    <t>Expenses</t>
  </si>
  <si>
    <t>Actual</t>
  </si>
  <si>
    <t>Projected</t>
  </si>
  <si>
    <t>Surplus/Deficit</t>
  </si>
  <si>
    <t>Payment</t>
  </si>
  <si>
    <t>Interest</t>
  </si>
  <si>
    <t>Total Interest</t>
  </si>
  <si>
    <t>Value after 7 years</t>
  </si>
  <si>
    <t>Interest rate</t>
  </si>
  <si>
    <t>Term (in years)</t>
  </si>
  <si>
    <t>Value after 20 years</t>
  </si>
  <si>
    <t>Contribution each month 
(reinvested interest)</t>
  </si>
  <si>
    <t>Month</t>
  </si>
  <si>
    <t>Balance</t>
  </si>
  <si>
    <t>Interest earned</t>
  </si>
  <si>
    <t>Interest + balance</t>
  </si>
  <si>
    <t>Amount paid to investor</t>
  </si>
  <si>
    <t>New balance</t>
  </si>
  <si>
    <t>Annuity Investment (Saving Matters)</t>
  </si>
  <si>
    <t>Present value or Investment</t>
  </si>
  <si>
    <t>Loan amount</t>
  </si>
  <si>
    <t>Annual interest rate</t>
  </si>
  <si>
    <t>Loan period in years</t>
  </si>
  <si>
    <t>Start date of loan</t>
  </si>
  <si>
    <t>Monthly payment</t>
  </si>
  <si>
    <t>Number of payments</t>
  </si>
  <si>
    <t>Total interest</t>
  </si>
  <si>
    <t>Total cost of loan</t>
  </si>
  <si>
    <t>No.</t>
  </si>
  <si>
    <t>Payment date</t>
  </si>
  <si>
    <t>Beginning balance</t>
  </si>
  <si>
    <t>Principal</t>
  </si>
  <si>
    <t>Ending balance</t>
  </si>
  <si>
    <t>Simple Loan Calculator</t>
  </si>
  <si>
    <t>Estimated Annual Salary After Graduation</t>
  </si>
  <si>
    <t>Date you begin paying back loans</t>
  </si>
  <si>
    <t>It's suggested that your total monthly student loan repayments do not exceed 8% of your first year annual salary.</t>
  </si>
  <si>
    <t>Your combined current monthly payment is:</t>
  </si>
  <si>
    <t>Your combined scheduled monthly payment is:</t>
  </si>
  <si>
    <t xml:space="preserve">Percentage of current monthly income: </t>
  </si>
  <si>
    <t>Percentage of scheduled monthly income:</t>
  </si>
  <si>
    <t>GENERAL LOAN DETAILS</t>
  </si>
  <si>
    <t>LOAN PAYBACK DATA</t>
  </si>
  <si>
    <t>PAYMENT DETAILS</t>
  </si>
  <si>
    <t>Loan No.</t>
  </si>
  <si>
    <t>Lender</t>
  </si>
  <si>
    <t>Loan Amount</t>
  </si>
  <si>
    <t>Annual Interest Rate</t>
  </si>
  <si>
    <t>Column1</t>
  </si>
  <si>
    <t>Beginning Date</t>
  </si>
  <si>
    <t>Length (Yrs)</t>
  </si>
  <si>
    <t>Ending Date</t>
  </si>
  <si>
    <t>Column2</t>
  </si>
  <si>
    <t>Current Monthly Payment</t>
  </si>
  <si>
    <t>Scheduled Payment</t>
  </si>
  <si>
    <t>Annual Payment</t>
  </si>
  <si>
    <t>10998M88</t>
  </si>
  <si>
    <t>20987N87</t>
  </si>
  <si>
    <t>Totals</t>
  </si>
  <si>
    <t>Averages</t>
  </si>
  <si>
    <t>Total consolidated loan payback:</t>
  </si>
  <si>
    <t>Estimated monthly income after graduation:</t>
  </si>
  <si>
    <t>CIBC Bank</t>
  </si>
  <si>
    <t>BMO Bank</t>
  </si>
  <si>
    <t>Total</t>
  </si>
  <si>
    <t xml:space="preserve">Gifts or Donation </t>
  </si>
  <si>
    <t xml:space="preserve">Saving or Investment </t>
  </si>
  <si>
    <t>Entertainment</t>
  </si>
  <si>
    <t>Transportation</t>
  </si>
  <si>
    <t>Average</t>
  </si>
  <si>
    <t>Dec</t>
  </si>
  <si>
    <t>Nov</t>
  </si>
  <si>
    <t>Oct</t>
  </si>
  <si>
    <t>Sep</t>
  </si>
  <si>
    <t>Aug</t>
  </si>
  <si>
    <t>Jul</t>
  </si>
  <si>
    <t>Jun</t>
  </si>
  <si>
    <t>May</t>
  </si>
  <si>
    <t>Apr</t>
  </si>
  <si>
    <t>Mar</t>
  </si>
  <si>
    <t>Feb</t>
  </si>
  <si>
    <t>Jan</t>
  </si>
  <si>
    <t>Item</t>
  </si>
  <si>
    <t>EXPENSES</t>
  </si>
  <si>
    <t xml:space="preserve">Side hustle </t>
  </si>
  <si>
    <t>Partner's Income</t>
  </si>
  <si>
    <t>You Income</t>
  </si>
  <si>
    <t>INCOME</t>
  </si>
  <si>
    <t>PERCENTAGE OF INCOME SPENT</t>
  </si>
  <si>
    <t>BALANCE</t>
  </si>
  <si>
    <t>Total monthly expenses</t>
  </si>
  <si>
    <t>SUMMARY</t>
  </si>
  <si>
    <t>ANNUAL BUDGET</t>
  </si>
  <si>
    <t>Financial Empowement and  Well-Being Program (FEWP)</t>
  </si>
  <si>
    <t>*The dashboard updates itself once you start inputting the "Monthly Budget" tab</t>
  </si>
  <si>
    <t>College/University Loan Calculator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</si>
</sst>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8">
    <numFmt numFmtId="7" formatCode="&quot;$&quot;#,##0.00_);\(&quot;$&quot;#,##0.00\)"/>
    <numFmt numFmtId="8" formatCode="&quot;$&quot;#,##0.00_);[Red]\(&quot;$&quot;#,##0.00\)"/>
    <numFmt numFmtId="44" formatCode="_(&quot;$&quot;* #,##0.00_);_(&quot;$&quot;* \(#,##0.00\);_(&quot;$&quot;* &quot;-&quot;??_);_(@_)"/>
    <numFmt numFmtId="43" formatCode="_(* #,##0.00_);_(* \(#,##0.00\);_(* &quot;-&quot;??_);_(@_)"/>
    <numFmt numFmtId="164" formatCode="&quot;$&quot;#,##0.00"/>
    <numFmt numFmtId="165" formatCode="_(&quot;$&quot;* #,##0_);_(&quot;$&quot;* \(#,##0\);_(&quot;$&quot;* &quot;-&quot;??_);_(@_)"/>
    <numFmt numFmtId="166" formatCode="0.0%"/>
    <numFmt numFmtId="167" formatCode="&quot;$&quot;#,##0"/>
  </numFmts>
  <fonts count="43">
    <font>
      <sz val="10"/>
      <color theme="1" tint="0.2499465926084170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theme="1" tint="0.24994659260841701"/>
      <name val="Century Gothic"/>
      <family val="2"/>
      <scheme val="major"/>
    </font>
    <font>
      <b/>
      <sz val="10"/>
      <color theme="1" tint="0.24994659260841701"/>
      <name val="Century Gothic"/>
      <family val="2"/>
      <scheme val="major"/>
    </font>
    <font>
      <sz val="22"/>
      <color theme="3" tint="0.24994659260841701"/>
      <name val="Century Gothic"/>
      <family val="2"/>
      <scheme val="major"/>
    </font>
    <font>
      <sz val="11"/>
      <color theme="0"/>
      <name val="Calibri"/>
      <family val="2"/>
      <scheme val="minor"/>
    </font>
    <font>
      <sz val="11"/>
      <color theme="1" tint="0.24994659260841701"/>
      <name val="Calibri"/>
      <family val="2"/>
      <scheme val="minor"/>
    </font>
    <font>
      <b/>
      <sz val="11"/>
      <color theme="1" tint="0.24994659260841701"/>
      <name val="Calibri"/>
      <family val="2"/>
      <scheme val="minor"/>
    </font>
    <font>
      <sz val="10"/>
      <color theme="0"/>
      <name val="Calibri"/>
      <family val="2"/>
      <scheme val="minor"/>
    </font>
    <font>
      <sz val="10"/>
      <color theme="1" tint="0.24994659260841701"/>
      <name val="Calibri"/>
      <family val="2"/>
      <scheme val="minor"/>
    </font>
    <font>
      <sz val="18"/>
      <color theme="3"/>
      <name val="Century Gothic"/>
      <family val="2"/>
      <scheme val="major"/>
    </font>
    <font>
      <sz val="10"/>
      <name val="Calibri"/>
      <family val="2"/>
      <scheme val="minor"/>
    </font>
    <font>
      <b/>
      <sz val="10"/>
      <color theme="1" tint="0.24994659260841701"/>
      <name val="Calibri"/>
      <family val="2"/>
      <scheme val="minor"/>
    </font>
    <font>
      <sz val="8"/>
      <name val="Calibri"/>
      <family val="2"/>
      <scheme val="minor"/>
    </font>
    <font>
      <b/>
      <sz val="10"/>
      <name val="Calibri"/>
      <family val="2"/>
      <scheme val="minor"/>
    </font>
    <font>
      <b/>
      <sz val="8"/>
      <name val="Calibri"/>
      <family val="2"/>
      <scheme val="minor"/>
    </font>
    <font>
      <sz val="11"/>
      <name val="Calibri"/>
      <family val="2"/>
      <scheme val="minor"/>
    </font>
    <font>
      <b/>
      <sz val="11"/>
      <color theme="4"/>
      <name val="Calibri"/>
      <family val="2"/>
      <scheme val="minor"/>
    </font>
    <font>
      <b/>
      <sz val="16"/>
      <color theme="6" tint="-0.24994659260841701"/>
      <name val="Calibri"/>
      <family val="2"/>
      <scheme val="minor"/>
    </font>
    <font>
      <b/>
      <sz val="14"/>
      <color theme="3"/>
      <name val="Calibri"/>
      <family val="2"/>
      <scheme val="minor"/>
    </font>
    <font>
      <b/>
      <sz val="17"/>
      <color theme="3"/>
      <name val="Calibri"/>
      <family val="2"/>
      <scheme val="minor"/>
    </font>
    <font>
      <sz val="11"/>
      <color theme="3"/>
      <name val="Calibri"/>
      <family val="2"/>
      <scheme val="minor"/>
    </font>
    <font>
      <b/>
      <sz val="14"/>
      <color theme="6" tint="-0.499984740745262"/>
      <name val="Calibri"/>
      <family val="2"/>
      <scheme val="minor"/>
    </font>
    <font>
      <sz val="11"/>
      <color theme="1" tint="4.9989318521683403E-2"/>
      <name val="Aptos"/>
      <family val="2"/>
    </font>
    <font>
      <sz val="11"/>
      <color theme="1"/>
      <name val="Calibri"/>
      <family val="1"/>
      <scheme val="minor"/>
    </font>
    <font>
      <sz val="10"/>
      <color theme="1" tint="4.9989318521683403E-2"/>
      <name val="Calibri"/>
      <family val="1"/>
      <scheme val="minor"/>
    </font>
    <font>
      <b/>
      <sz val="11"/>
      <color theme="0"/>
      <name val="Century Gothic"/>
      <family val="1"/>
      <scheme val="major"/>
    </font>
    <font>
      <b/>
      <sz val="14"/>
      <color theme="1" tint="4.9989318521683403E-2"/>
      <name val="Calibri"/>
      <family val="2"/>
      <scheme val="minor"/>
    </font>
    <font>
      <sz val="32"/>
      <color theme="0"/>
      <name val="Century Gothic"/>
      <family val="1"/>
      <scheme val="major"/>
    </font>
    <font>
      <sz val="16"/>
      <color rgb="FFC00000"/>
      <name val="Calibri"/>
      <family val="2"/>
      <scheme val="minor"/>
    </font>
    <font>
      <b/>
      <sz val="16"/>
      <color rgb="FFC00000"/>
      <name val="Calibri"/>
      <family val="2"/>
      <scheme val="minor"/>
    </font>
    <font>
      <b/>
      <sz val="12"/>
      <color theme="1" tint="0.24994659260841701"/>
      <name val="Calibri"/>
      <family val="2"/>
      <scheme val="minor"/>
    </font>
    <font>
      <b/>
      <sz val="10"/>
      <color rgb="FFFF0000"/>
      <name val="Calibri"/>
      <family val="2"/>
      <scheme val="minor"/>
    </font>
    <font>
      <b/>
      <sz val="8"/>
      <color theme="0"/>
      <name val="Calibri"/>
      <family val="2"/>
      <scheme val="minor"/>
    </font>
    <font>
      <b/>
      <sz val="11"/>
      <name val="Calibri"/>
      <family val="2"/>
      <scheme val="minor"/>
    </font>
    <font>
      <b/>
      <sz val="11"/>
      <color theme="1"/>
      <name val="Calibri"/>
      <family val="2"/>
      <scheme val="minor"/>
    </font>
    <font>
      <b/>
      <sz val="11"/>
      <color rgb="FFC00000"/>
      <name val="Calibri"/>
      <family val="2"/>
      <scheme val="minor"/>
    </font>
    <font>
      <b/>
      <sz val="12"/>
      <name val="Calibri"/>
      <family val="2"/>
      <scheme val="minor"/>
    </font>
    <font>
      <b/>
      <sz val="12"/>
      <color rgb="FFC00000"/>
      <name val="Calibri"/>
      <family val="2"/>
      <scheme val="minor"/>
    </font>
    <font>
      <sz val="12"/>
      <color rgb="FFC00000"/>
      <name val="Calibri"/>
      <family val="2"/>
      <scheme val="minor"/>
    </font>
  </fonts>
  <fills count="15">
    <fill>
      <patternFill patternType="none"/>
    </fill>
    <fill>
      <patternFill patternType="gray125"/>
    </fill>
    <fill>
      <patternFill patternType="solid">
        <fgColor theme="0" tint="-0.14996795556505021"/>
        <bgColor indexed="64"/>
      </patternFill>
    </fill>
    <fill>
      <patternFill patternType="solid">
        <fgColor theme="4"/>
      </patternFill>
    </fill>
    <fill>
      <patternFill patternType="solid">
        <fgColor theme="7" tint="0.39997558519241921"/>
        <bgColor indexed="64"/>
      </patternFill>
    </fill>
    <fill>
      <patternFill patternType="solid">
        <fgColor theme="4" tint="-0.499984740745262"/>
        <bgColor indexed="64"/>
      </patternFill>
    </fill>
    <fill>
      <patternFill patternType="solid">
        <fgColor theme="4" tint="0.79998168889431442"/>
        <bgColor indexed="64"/>
      </patternFill>
    </fill>
    <fill>
      <patternFill patternType="solid">
        <fgColor theme="0"/>
        <bgColor indexed="64"/>
      </patternFill>
    </fill>
    <fill>
      <patternFill patternType="solid">
        <fgColor theme="4" tint="0.59999389629810485"/>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3" tint="-0.24994659260841701"/>
        <bgColor indexed="64"/>
      </patternFill>
    </fill>
    <fill>
      <patternFill patternType="solid">
        <fgColor theme="8" tint="-0.24994659260841701"/>
        <bgColor indexed="64"/>
      </patternFill>
    </fill>
    <fill>
      <patternFill patternType="solid">
        <fgColor theme="7" tint="0.59999389629810485"/>
        <bgColor indexed="64"/>
      </patternFill>
    </fill>
    <fill>
      <patternFill patternType="solid">
        <fgColor theme="6" tint="0.59999389629810485"/>
        <bgColor indexed="64"/>
      </patternFill>
    </fill>
  </fills>
  <borders count="74">
    <border>
      <left/>
      <right/>
      <top/>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diagonal/>
    </border>
    <border>
      <left style="thin">
        <color theme="0" tint="-0.34998626667073579"/>
      </left>
      <right style="thin">
        <color theme="0" tint="-0.34998626667073579"/>
      </right>
      <top/>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right/>
      <top/>
      <bottom style="medium">
        <color theme="4" tint="-0.24994659260841701"/>
      </bottom>
      <diagonal/>
    </border>
    <border>
      <left/>
      <right/>
      <top/>
      <bottom style="thick">
        <color theme="4" tint="0.499984740745262"/>
      </bottom>
      <diagonal/>
    </border>
    <border>
      <left/>
      <right/>
      <top/>
      <bottom style="medium">
        <color theme="4" tint="0.39997558519241921"/>
      </bottom>
      <diagonal/>
    </border>
    <border>
      <left style="thin">
        <color indexed="64"/>
      </left>
      <right style="thin">
        <color indexed="64"/>
      </right>
      <top style="thin">
        <color indexed="64"/>
      </top>
      <bottom style="thin">
        <color indexed="64"/>
      </bottom>
      <diagonal/>
    </border>
    <border>
      <left/>
      <right/>
      <top style="thin">
        <color theme="0" tint="-0.34998626667073579"/>
      </top>
      <bottom style="thin">
        <color theme="0" tint="-0.34998626667073579"/>
      </bottom>
      <diagonal/>
    </border>
    <border>
      <left/>
      <right/>
      <top/>
      <bottom style="thin">
        <color theme="5" tint="0.79998168889431442"/>
      </bottom>
      <diagonal/>
    </border>
    <border>
      <left/>
      <right/>
      <top style="thin">
        <color theme="5" tint="0.79998168889431442"/>
      </top>
      <bottom style="thin">
        <color theme="5" tint="0.79998168889431442"/>
      </bottom>
      <diagonal/>
    </border>
    <border>
      <left/>
      <right/>
      <top/>
      <bottom style="thick">
        <color theme="4" tint="-0.499984740745262"/>
      </bottom>
      <diagonal/>
    </border>
    <border>
      <left/>
      <right/>
      <top/>
      <bottom style="thin">
        <color theme="4" tint="-0.24994659260841701"/>
      </bottom>
      <diagonal/>
    </border>
    <border>
      <left/>
      <right/>
      <top style="thin">
        <color theme="4" tint="-0.24994659260841701"/>
      </top>
      <bottom style="thin">
        <color theme="4" tint="-0.24994659260841701"/>
      </bottom>
      <diagonal/>
    </border>
    <border>
      <left style="thin">
        <color theme="6" tint="-0.499984740745262"/>
      </left>
      <right/>
      <top style="thin">
        <color theme="6" tint="-0.499984740745262"/>
      </top>
      <bottom/>
      <diagonal/>
    </border>
    <border>
      <left/>
      <right/>
      <top style="thin">
        <color theme="6" tint="-0.499984740745262"/>
      </top>
      <bottom/>
      <diagonal/>
    </border>
    <border>
      <left/>
      <right style="thin">
        <color theme="6" tint="-0.499984740745262"/>
      </right>
      <top style="thin">
        <color theme="6" tint="-0.499984740745262"/>
      </top>
      <bottom/>
      <diagonal/>
    </border>
    <border>
      <left style="thin">
        <color theme="7" tint="-0.499984740745262"/>
      </left>
      <right/>
      <top style="thin">
        <color theme="7" tint="-0.499984740745262"/>
      </top>
      <bottom/>
      <diagonal/>
    </border>
    <border>
      <left/>
      <right/>
      <top style="thin">
        <color theme="7" tint="-0.499984740745262"/>
      </top>
      <bottom/>
      <diagonal/>
    </border>
    <border>
      <left/>
      <right style="thin">
        <color theme="7" tint="-0.499984740745262"/>
      </right>
      <top style="thin">
        <color theme="7" tint="-0.499984740745262"/>
      </top>
      <bottom/>
      <diagonal/>
    </border>
    <border>
      <left style="thin">
        <color theme="8" tint="-0.499984740745262"/>
      </left>
      <right/>
      <top style="thin">
        <color theme="8" tint="-0.499984740745262"/>
      </top>
      <bottom/>
      <diagonal/>
    </border>
    <border>
      <left/>
      <right/>
      <top style="thin">
        <color theme="8" tint="-0.499984740745262"/>
      </top>
      <bottom/>
      <diagonal/>
    </border>
    <border>
      <left/>
      <right style="thin">
        <color theme="8" tint="-0.499984740745262"/>
      </right>
      <top style="thin">
        <color theme="8" tint="-0.499984740745262"/>
      </top>
      <bottom/>
      <diagonal/>
    </border>
    <border>
      <left style="thin">
        <color theme="6" tint="-0.499984740745262"/>
      </left>
      <right/>
      <top/>
      <bottom style="thin">
        <color theme="6" tint="-0.499984740745262"/>
      </bottom>
      <diagonal/>
    </border>
    <border>
      <left/>
      <right/>
      <top/>
      <bottom style="thin">
        <color theme="6" tint="-0.499984740745262"/>
      </bottom>
      <diagonal/>
    </border>
    <border>
      <left/>
      <right style="thin">
        <color theme="6" tint="-0.499984740745262"/>
      </right>
      <top/>
      <bottom style="thin">
        <color theme="6" tint="-0.499984740745262"/>
      </bottom>
      <diagonal/>
    </border>
    <border>
      <left style="thin">
        <color theme="7" tint="-0.499984740745262"/>
      </left>
      <right/>
      <top/>
      <bottom style="thin">
        <color theme="7" tint="-0.499984740745262"/>
      </bottom>
      <diagonal/>
    </border>
    <border>
      <left/>
      <right/>
      <top/>
      <bottom style="thin">
        <color theme="7" tint="-0.499984740745262"/>
      </bottom>
      <diagonal/>
    </border>
    <border>
      <left/>
      <right style="thin">
        <color theme="7" tint="-0.499984740745262"/>
      </right>
      <top/>
      <bottom style="thin">
        <color theme="7" tint="-0.499984740745262"/>
      </bottom>
      <diagonal/>
    </border>
    <border>
      <left style="thin">
        <color theme="8" tint="-0.499984740745262"/>
      </left>
      <right/>
      <top/>
      <bottom style="thin">
        <color theme="8" tint="-0.499984740745262"/>
      </bottom>
      <diagonal/>
    </border>
    <border>
      <left/>
      <right/>
      <top/>
      <bottom style="thin">
        <color theme="8" tint="-0.499984740745262"/>
      </bottom>
      <diagonal/>
    </border>
    <border>
      <left/>
      <right style="thin">
        <color theme="8" tint="-0.499984740745262"/>
      </right>
      <top/>
      <bottom style="thin">
        <color theme="8" tint="-0.499984740745262"/>
      </bottom>
      <diagonal/>
    </border>
    <border>
      <left style="thin">
        <color theme="6" tint="-0.499984740745262"/>
      </left>
      <right/>
      <top/>
      <bottom style="thin">
        <color theme="6" tint="0.39994506668294322"/>
      </bottom>
      <diagonal/>
    </border>
    <border>
      <left/>
      <right/>
      <top/>
      <bottom style="thin">
        <color theme="6" tint="0.39994506668294322"/>
      </bottom>
      <diagonal/>
    </border>
    <border>
      <left/>
      <right style="thin">
        <color theme="6" tint="-0.499984740745262"/>
      </right>
      <top/>
      <bottom style="thin">
        <color theme="6" tint="0.39994506668294322"/>
      </bottom>
      <diagonal/>
    </border>
    <border>
      <left style="thin">
        <color theme="7" tint="-0.499984740745262"/>
      </left>
      <right/>
      <top/>
      <bottom style="thin">
        <color theme="7" tint="0.39994506668294322"/>
      </bottom>
      <diagonal/>
    </border>
    <border>
      <left/>
      <right/>
      <top/>
      <bottom style="thin">
        <color theme="7" tint="0.39994506668294322"/>
      </bottom>
      <diagonal/>
    </border>
    <border>
      <left/>
      <right style="thin">
        <color theme="7" tint="-0.499984740745262"/>
      </right>
      <top/>
      <bottom style="thin">
        <color theme="7" tint="0.39994506668294322"/>
      </bottom>
      <diagonal/>
    </border>
    <border>
      <left style="thin">
        <color theme="8" tint="-0.499984740745262"/>
      </left>
      <right/>
      <top/>
      <bottom style="thin">
        <color theme="8" tint="0.39994506668294322"/>
      </bottom>
      <diagonal/>
    </border>
    <border>
      <left/>
      <right/>
      <top/>
      <bottom style="thin">
        <color theme="8" tint="0.39994506668294322"/>
      </bottom>
      <diagonal/>
    </border>
    <border>
      <left/>
      <right style="thin">
        <color theme="8" tint="-0.499984740745262"/>
      </right>
      <top/>
      <bottom style="thin">
        <color theme="8" tint="0.39994506668294322"/>
      </bottom>
      <diagonal/>
    </border>
    <border>
      <left style="thin">
        <color theme="6" tint="-0.499984740745262"/>
      </left>
      <right/>
      <top style="thin">
        <color theme="6" tint="0.39994506668294322"/>
      </top>
      <bottom style="thin">
        <color theme="6" tint="0.39994506668294322"/>
      </bottom>
      <diagonal/>
    </border>
    <border>
      <left/>
      <right/>
      <top style="thin">
        <color theme="6" tint="0.39994506668294322"/>
      </top>
      <bottom style="thin">
        <color theme="6" tint="0.39994506668294322"/>
      </bottom>
      <diagonal/>
    </border>
    <border>
      <left/>
      <right style="thin">
        <color theme="6" tint="-0.499984740745262"/>
      </right>
      <top style="thin">
        <color theme="6" tint="0.39994506668294322"/>
      </top>
      <bottom style="thin">
        <color theme="6" tint="0.39994506668294322"/>
      </bottom>
      <diagonal/>
    </border>
    <border>
      <left style="thin">
        <color theme="7" tint="-0.499984740745262"/>
      </left>
      <right/>
      <top style="thin">
        <color theme="7" tint="0.39994506668294322"/>
      </top>
      <bottom style="thin">
        <color theme="7" tint="0.39994506668294322"/>
      </bottom>
      <diagonal/>
    </border>
    <border>
      <left/>
      <right/>
      <top style="thin">
        <color theme="7" tint="0.39994506668294322"/>
      </top>
      <bottom style="thin">
        <color theme="7" tint="0.39994506668294322"/>
      </bottom>
      <diagonal/>
    </border>
    <border>
      <left/>
      <right style="thin">
        <color theme="7" tint="-0.499984740745262"/>
      </right>
      <top style="thin">
        <color theme="7" tint="0.39994506668294322"/>
      </top>
      <bottom style="thin">
        <color theme="7" tint="0.39994506668294322"/>
      </bottom>
      <diagonal/>
    </border>
    <border>
      <left style="thin">
        <color theme="8" tint="-0.499984740745262"/>
      </left>
      <right/>
      <top style="thin">
        <color theme="8" tint="0.39994506668294322"/>
      </top>
      <bottom style="thin">
        <color theme="8" tint="0.39994506668294322"/>
      </bottom>
      <diagonal/>
    </border>
    <border>
      <left/>
      <right/>
      <top style="thin">
        <color theme="8" tint="0.39994506668294322"/>
      </top>
      <bottom style="thin">
        <color theme="8" tint="0.39994506668294322"/>
      </bottom>
      <diagonal/>
    </border>
    <border>
      <left/>
      <right style="thin">
        <color theme="8" tint="-0.499984740745262"/>
      </right>
      <top style="thin">
        <color theme="8" tint="0.39994506668294322"/>
      </top>
      <bottom style="thin">
        <color theme="8" tint="0.39994506668294322"/>
      </bottom>
      <diagonal/>
    </border>
    <border>
      <left style="thin">
        <color theme="6" tint="-0.499984740745262"/>
      </left>
      <right/>
      <top style="thin">
        <color theme="6" tint="0.39994506668294322"/>
      </top>
      <bottom/>
      <diagonal/>
    </border>
    <border>
      <left/>
      <right/>
      <top style="thin">
        <color theme="6" tint="0.39994506668294322"/>
      </top>
      <bottom/>
      <diagonal/>
    </border>
    <border>
      <left/>
      <right style="thin">
        <color theme="6" tint="-0.499984740745262"/>
      </right>
      <top style="thin">
        <color theme="6" tint="0.39994506668294322"/>
      </top>
      <bottom/>
      <diagonal/>
    </border>
    <border>
      <left style="thin">
        <color theme="7" tint="-0.499984740745262"/>
      </left>
      <right/>
      <top style="thin">
        <color theme="7" tint="0.39994506668294322"/>
      </top>
      <bottom/>
      <diagonal/>
    </border>
    <border>
      <left/>
      <right/>
      <top style="thin">
        <color theme="7" tint="0.39994506668294322"/>
      </top>
      <bottom/>
      <diagonal/>
    </border>
    <border>
      <left/>
      <right style="thin">
        <color theme="7" tint="-0.499984740745262"/>
      </right>
      <top style="thin">
        <color theme="7" tint="0.39994506668294322"/>
      </top>
      <bottom/>
      <diagonal/>
    </border>
    <border>
      <left style="thin">
        <color theme="8" tint="-0.499984740745262"/>
      </left>
      <right/>
      <top style="thin">
        <color theme="8" tint="0.39994506668294322"/>
      </top>
      <bottom/>
      <diagonal/>
    </border>
    <border>
      <left/>
      <right/>
      <top style="thin">
        <color theme="8" tint="0.39994506668294322"/>
      </top>
      <bottom/>
      <diagonal/>
    </border>
    <border>
      <left/>
      <right style="thin">
        <color theme="8" tint="-0.499984740745262"/>
      </right>
      <top style="thin">
        <color theme="8" tint="0.39994506668294322"/>
      </top>
      <bottom/>
      <diagonal/>
    </border>
    <border>
      <left/>
      <right/>
      <top/>
      <bottom style="medium">
        <color theme="7"/>
      </bottom>
      <diagonal/>
    </border>
    <border>
      <left/>
      <right/>
      <top style="medium">
        <color theme="0"/>
      </top>
      <bottom/>
      <diagonal/>
    </border>
    <border>
      <left/>
      <right/>
      <top style="medium">
        <color theme="0"/>
      </top>
      <bottom style="medium">
        <color theme="0"/>
      </bottom>
      <diagonal/>
    </border>
    <border>
      <left/>
      <right/>
      <top style="dashed">
        <color theme="7"/>
      </top>
      <bottom style="dashed">
        <color theme="7"/>
      </bottom>
      <diagonal/>
    </border>
    <border>
      <left/>
      <right/>
      <top style="medium">
        <color theme="3" tint="0.39994506668294322"/>
      </top>
      <bottom style="medium">
        <color theme="3" tint="0.39994506668294322"/>
      </bottom>
      <diagonal/>
    </border>
    <border>
      <left/>
      <right/>
      <top/>
      <bottom style="dashed">
        <color theme="7"/>
      </bottom>
      <diagonal/>
    </border>
    <border>
      <left/>
      <right/>
      <top/>
      <bottom style="medium">
        <color theme="0"/>
      </bottom>
      <diagonal/>
    </border>
    <border>
      <left/>
      <right/>
      <top/>
      <bottom style="thick">
        <color theme="4"/>
      </bottom>
      <diagonal/>
    </border>
    <border>
      <left/>
      <right/>
      <top/>
      <bottom style="thin">
        <color theme="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6">
    <xf numFmtId="0" fontId="0" fillId="0" borderId="0"/>
    <xf numFmtId="0" fontId="7" fillId="0" borderId="7" applyNumberFormat="0" applyFill="0" applyAlignment="0" applyProtection="0"/>
    <xf numFmtId="0" fontId="5" fillId="0" borderId="8" applyNumberFormat="0" applyFill="0" applyBorder="0" applyAlignment="0" applyProtection="0"/>
    <xf numFmtId="0" fontId="6" fillId="0" borderId="9" applyNumberFormat="0" applyFill="0" applyBorder="0" applyAlignment="0" applyProtection="0"/>
    <xf numFmtId="43" fontId="12" fillId="0" borderId="0" applyFont="0" applyFill="0" applyBorder="0" applyAlignment="0" applyProtection="0"/>
    <xf numFmtId="44" fontId="12" fillId="0" borderId="0" applyFont="0" applyFill="0" applyBorder="0" applyAlignment="0" applyProtection="0"/>
    <xf numFmtId="9" fontId="12" fillId="0" borderId="0" applyFont="0" applyFill="0" applyBorder="0" applyAlignment="0" applyProtection="0"/>
    <xf numFmtId="0" fontId="13" fillId="0" borderId="0" applyNumberFormat="0" applyFill="0" applyBorder="0" applyAlignment="0" applyProtection="0"/>
    <xf numFmtId="14" fontId="19" fillId="0" borderId="0" applyFont="0" applyFill="0" applyBorder="0">
      <alignment horizontal="right"/>
    </xf>
    <xf numFmtId="0" fontId="24" fillId="0" borderId="0"/>
    <xf numFmtId="0" fontId="23" fillId="0" borderId="0" applyNumberFormat="0" applyFill="0" applyBorder="0" applyAlignment="0" applyProtection="0"/>
    <xf numFmtId="9" fontId="4" fillId="0" borderId="0" applyFont="0" applyFill="0" applyBorder="0" applyAlignment="0" applyProtection="0"/>
    <xf numFmtId="44" fontId="4" fillId="0" borderId="0" applyFon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4" fillId="0" borderId="0" applyNumberFormat="0" applyAlignment="0"/>
    <xf numFmtId="0" fontId="25" fillId="0" borderId="62" applyNumberFormat="0" applyAlignment="0">
      <alignment vertical="center"/>
    </xf>
    <xf numFmtId="0" fontId="8" fillId="3" borderId="0" applyNumberFormat="0" applyFont="0" applyBorder="0" applyAlignment="0" applyProtection="0"/>
    <xf numFmtId="0" fontId="26" fillId="0" borderId="0">
      <alignment horizontal="left" vertical="center" wrapText="1" indent="1"/>
    </xf>
    <xf numFmtId="0" fontId="3" fillId="0" borderId="0"/>
    <xf numFmtId="164" fontId="28" fillId="0" borderId="0" applyFont="0" applyFill="0" applyBorder="0" applyProtection="0">
      <alignment horizontal="right" vertical="center" indent="1"/>
    </xf>
    <xf numFmtId="0" fontId="29" fillId="11" borderId="63" applyNumberFormat="0" applyProtection="0">
      <alignment horizontal="center" vertical="center"/>
    </xf>
    <xf numFmtId="9" fontId="30" fillId="0" borderId="0" applyFont="0" applyFill="0" applyBorder="0" applyProtection="0">
      <alignment horizontal="center" vertical="center"/>
    </xf>
    <xf numFmtId="0" fontId="29" fillId="12" borderId="64" applyNumberFormat="0" applyProtection="0">
      <alignment horizontal="center" vertical="center"/>
    </xf>
    <xf numFmtId="0" fontId="19" fillId="0" borderId="66" applyNumberFormat="0" applyFont="0" applyAlignment="0" applyProtection="0"/>
    <xf numFmtId="0" fontId="31" fillId="3" borderId="68" applyNumberFormat="0" applyProtection="0">
      <alignment horizontal="left" vertical="center" indent="3"/>
    </xf>
  </cellStyleXfs>
  <cellXfs count="231">
    <xf numFmtId="0" fontId="0" fillId="0" borderId="0" xfId="0"/>
    <xf numFmtId="0" fontId="9" fillId="0" borderId="0" xfId="0" applyFont="1" applyAlignment="1">
      <alignment vertical="center" wrapText="1"/>
    </xf>
    <xf numFmtId="0" fontId="10" fillId="0" borderId="0" xfId="0" applyFont="1" applyAlignment="1">
      <alignment vertical="center" wrapText="1"/>
    </xf>
    <xf numFmtId="0" fontId="8" fillId="0" borderId="0" xfId="0" applyFont="1"/>
    <xf numFmtId="0" fontId="11" fillId="0" borderId="0" xfId="0" applyFont="1"/>
    <xf numFmtId="0" fontId="0" fillId="0" borderId="10" xfId="0" applyBorder="1"/>
    <xf numFmtId="164" fontId="14" fillId="4" borderId="10" xfId="0" applyNumberFormat="1" applyFont="1" applyFill="1" applyBorder="1"/>
    <xf numFmtId="0" fontId="15" fillId="4" borderId="0" xfId="0" applyFont="1" applyFill="1"/>
    <xf numFmtId="165" fontId="0" fillId="0" borderId="10" xfId="5" applyNumberFormat="1" applyFont="1" applyBorder="1"/>
    <xf numFmtId="0" fontId="16" fillId="0" borderId="12" xfId="0" applyFont="1" applyBorder="1" applyAlignment="1">
      <alignment horizontal="center" vertical="center"/>
    </xf>
    <xf numFmtId="4" fontId="16" fillId="0" borderId="12" xfId="5" applyNumberFormat="1" applyFont="1" applyBorder="1" applyAlignment="1">
      <alignment horizontal="left" vertical="center" indent="2"/>
    </xf>
    <xf numFmtId="4" fontId="16" fillId="0" borderId="12" xfId="0" applyNumberFormat="1" applyFont="1" applyBorder="1" applyAlignment="1">
      <alignment horizontal="left" vertical="center" indent="2"/>
    </xf>
    <xf numFmtId="0" fontId="16" fillId="0" borderId="13" xfId="0" applyFont="1" applyBorder="1" applyAlignment="1">
      <alignment horizontal="center" vertical="center"/>
    </xf>
    <xf numFmtId="4" fontId="16" fillId="0" borderId="13" xfId="5" applyNumberFormat="1" applyFont="1" applyBorder="1" applyAlignment="1">
      <alignment horizontal="left" vertical="center" indent="2"/>
    </xf>
    <xf numFmtId="4" fontId="16" fillId="0" borderId="13" xfId="0" applyNumberFormat="1" applyFont="1" applyBorder="1" applyAlignment="1">
      <alignment horizontal="left" vertical="center" indent="2"/>
    </xf>
    <xf numFmtId="0" fontId="18" fillId="0" borderId="13" xfId="0" applyFont="1" applyBorder="1" applyAlignment="1">
      <alignment horizontal="center" vertical="center"/>
    </xf>
    <xf numFmtId="4" fontId="18" fillId="0" borderId="13" xfId="5" applyNumberFormat="1" applyFont="1" applyBorder="1" applyAlignment="1">
      <alignment horizontal="left" vertical="center" indent="2"/>
    </xf>
    <xf numFmtId="4" fontId="18" fillId="0" borderId="13" xfId="0" applyNumberFormat="1" applyFont="1" applyBorder="1" applyAlignment="1">
      <alignment horizontal="left" vertical="center" indent="2"/>
    </xf>
    <xf numFmtId="0" fontId="0" fillId="0" borderId="0" xfId="0" applyAlignment="1">
      <alignment horizontal="right"/>
    </xf>
    <xf numFmtId="0" fontId="0" fillId="0" borderId="0" xfId="0" applyAlignment="1">
      <alignment horizontal="left" vertical="center" indent="1"/>
    </xf>
    <xf numFmtId="0" fontId="20" fillId="0" borderId="0" xfId="0" applyFont="1" applyAlignment="1">
      <alignment horizontal="left" vertical="center"/>
    </xf>
    <xf numFmtId="43" fontId="0" fillId="0" borderId="0" xfId="4" applyFont="1" applyAlignment="1">
      <alignment horizontal="left" vertical="center" indent="1"/>
    </xf>
    <xf numFmtId="14" fontId="0" fillId="0" borderId="0" xfId="8" applyFont="1" applyAlignment="1">
      <alignment horizontal="left" vertical="center" indent="1"/>
    </xf>
    <xf numFmtId="44" fontId="0" fillId="0" borderId="0" xfId="5" applyFont="1" applyAlignment="1">
      <alignment horizontal="left" vertical="center" indent="1"/>
    </xf>
    <xf numFmtId="0" fontId="0" fillId="7" borderId="0" xfId="0" applyFill="1" applyAlignment="1">
      <alignment horizontal="right"/>
    </xf>
    <xf numFmtId="0" fontId="0" fillId="0" borderId="0" xfId="0" applyBorder="1" applyAlignment="1">
      <alignment horizontal="right"/>
    </xf>
    <xf numFmtId="0" fontId="0" fillId="7" borderId="0" xfId="0" applyFill="1" applyBorder="1" applyAlignment="1">
      <alignment horizontal="right"/>
    </xf>
    <xf numFmtId="0" fontId="20" fillId="0" borderId="0" xfId="0" applyFont="1" applyBorder="1" applyAlignment="1">
      <alignment horizontal="left" vertical="center"/>
    </xf>
    <xf numFmtId="0" fontId="27" fillId="0" borderId="0" xfId="18" applyFont="1">
      <alignment horizontal="left" vertical="center" wrapText="1" indent="1"/>
    </xf>
    <xf numFmtId="0" fontId="0" fillId="0" borderId="0" xfId="0" applyFont="1"/>
    <xf numFmtId="0" fontId="0" fillId="0" borderId="0" xfId="0" applyFont="1" applyAlignment="1">
      <alignment vertical="center"/>
    </xf>
    <xf numFmtId="0" fontId="15" fillId="0" borderId="0" xfId="0" applyFont="1"/>
    <xf numFmtId="0" fontId="0" fillId="0" borderId="0" xfId="0" applyFont="1" applyAlignment="1">
      <alignment horizontal="center"/>
    </xf>
    <xf numFmtId="0" fontId="2" fillId="0" borderId="0" xfId="0" applyFont="1"/>
    <xf numFmtId="8" fontId="0" fillId="4" borderId="10" xfId="0" applyNumberFormat="1" applyFont="1" applyFill="1" applyBorder="1"/>
    <xf numFmtId="8" fontId="15" fillId="2" borderId="4" xfId="0" applyNumberFormat="1" applyFont="1" applyFill="1" applyBorder="1"/>
    <xf numFmtId="0" fontId="0" fillId="0" borderId="10" xfId="0" applyFont="1" applyBorder="1"/>
    <xf numFmtId="164" fontId="0" fillId="4" borderId="10" xfId="0" applyNumberFormat="1" applyFont="1" applyFill="1" applyBorder="1"/>
    <xf numFmtId="164" fontId="0" fillId="0" borderId="10" xfId="0" applyNumberFormat="1" applyFont="1" applyBorder="1"/>
    <xf numFmtId="164" fontId="0" fillId="0" borderId="0" xfId="0" applyNumberFormat="1" applyFont="1"/>
    <xf numFmtId="0" fontId="16" fillId="0" borderId="0" xfId="0" applyFont="1" applyAlignment="1">
      <alignment horizontal="left" vertical="center" indent="2"/>
    </xf>
    <xf numFmtId="0" fontId="36" fillId="5" borderId="0" xfId="0" applyFont="1" applyFill="1" applyAlignment="1">
      <alignment horizontal="left" vertical="center" wrapText="1"/>
    </xf>
    <xf numFmtId="0" fontId="36" fillId="5" borderId="0" xfId="0" applyFont="1" applyFill="1" applyAlignment="1">
      <alignment horizontal="left" vertical="center" wrapText="1" indent="2"/>
    </xf>
    <xf numFmtId="0" fontId="0" fillId="0" borderId="0" xfId="0" applyFont="1" applyAlignment="1">
      <alignment horizontal="left" vertical="center" indent="2"/>
    </xf>
    <xf numFmtId="0" fontId="18" fillId="0" borderId="0" xfId="0" applyFont="1" applyAlignment="1">
      <alignment horizontal="left" vertical="center"/>
    </xf>
    <xf numFmtId="4" fontId="18" fillId="0" borderId="0" xfId="5" applyNumberFormat="1" applyFont="1" applyAlignment="1">
      <alignment horizontal="left" vertical="center" indent="2"/>
    </xf>
    <xf numFmtId="4" fontId="18" fillId="0" borderId="0" xfId="0" applyNumberFormat="1" applyFont="1" applyAlignment="1">
      <alignment horizontal="left" vertical="center" indent="2"/>
    </xf>
    <xf numFmtId="165" fontId="18" fillId="0" borderId="0" xfId="5" applyNumberFormat="1" applyFont="1" applyAlignment="1">
      <alignment horizontal="left" vertical="center" indent="2"/>
    </xf>
    <xf numFmtId="165" fontId="18" fillId="0" borderId="0" xfId="0" applyNumberFormat="1" applyFont="1" applyAlignment="1">
      <alignment horizontal="left" vertical="center" indent="2"/>
    </xf>
    <xf numFmtId="0" fontId="16" fillId="0" borderId="0" xfId="0" applyFont="1" applyAlignment="1">
      <alignment horizontal="left" vertical="center"/>
    </xf>
    <xf numFmtId="0" fontId="24" fillId="0" borderId="0" xfId="9" applyFont="1"/>
    <xf numFmtId="4" fontId="37" fillId="14" borderId="72" xfId="4" applyNumberFormat="1" applyFont="1" applyFill="1" applyBorder="1" applyAlignment="1" applyProtection="1">
      <alignment horizontal="left" vertical="center" indent="1"/>
      <protection locked="0"/>
    </xf>
    <xf numFmtId="0" fontId="19" fillId="13" borderId="72" xfId="0" applyFont="1" applyFill="1" applyBorder="1" applyAlignment="1">
      <alignment horizontal="left" vertical="center" indent="2"/>
    </xf>
    <xf numFmtId="0" fontId="37" fillId="13" borderId="72" xfId="0" applyFont="1" applyFill="1" applyBorder="1" applyAlignment="1">
      <alignment horizontal="left" vertical="center" wrapText="1" indent="2"/>
    </xf>
    <xf numFmtId="165" fontId="37" fillId="14" borderId="73" xfId="0" applyNumberFormat="1" applyFont="1" applyFill="1" applyBorder="1" applyAlignment="1">
      <alignment horizontal="center" vertical="center"/>
    </xf>
    <xf numFmtId="10" fontId="37" fillId="14" borderId="72" xfId="0" applyNumberFormat="1" applyFont="1" applyFill="1" applyBorder="1" applyAlignment="1" applyProtection="1">
      <alignment horizontal="left" vertical="center" indent="1"/>
      <protection locked="0"/>
    </xf>
    <xf numFmtId="0" fontId="37" fillId="14" borderId="72" xfId="0" applyFont="1" applyFill="1" applyBorder="1" applyAlignment="1">
      <alignment horizontal="left" vertical="center" indent="1"/>
    </xf>
    <xf numFmtId="166" fontId="37" fillId="14" borderId="72" xfId="0" applyNumberFormat="1" applyFont="1" applyFill="1" applyBorder="1" applyAlignment="1" applyProtection="1">
      <alignment horizontal="left" vertical="center" wrapText="1" indent="1"/>
      <protection locked="0"/>
    </xf>
    <xf numFmtId="44" fontId="19" fillId="10" borderId="10" xfId="5" applyFont="1" applyFill="1" applyBorder="1" applyAlignment="1">
      <alignment horizontal="right" vertical="center" indent="1"/>
    </xf>
    <xf numFmtId="0" fontId="37" fillId="9" borderId="0" xfId="7" applyFont="1" applyFill="1" applyBorder="1" applyAlignment="1">
      <alignment horizontal="left" vertical="center" indent="1"/>
    </xf>
    <xf numFmtId="0" fontId="19" fillId="9" borderId="0" xfId="7" applyFont="1" applyFill="1" applyBorder="1" applyAlignment="1">
      <alignment horizontal="left" vertical="center" indent="1"/>
    </xf>
    <xf numFmtId="0" fontId="19" fillId="9" borderId="0" xfId="2" applyFont="1" applyFill="1" applyBorder="1" applyAlignment="1">
      <alignment horizontal="left" vertical="center" indent="1"/>
    </xf>
    <xf numFmtId="44" fontId="19" fillId="9" borderId="0" xfId="5" applyFont="1" applyFill="1" applyBorder="1" applyAlignment="1">
      <alignment horizontal="right" vertical="center" indent="1"/>
    </xf>
    <xf numFmtId="0" fontId="19" fillId="9" borderId="0" xfId="0" applyFont="1" applyFill="1" applyAlignment="1">
      <alignment horizontal="left" vertical="center" indent="1"/>
    </xf>
    <xf numFmtId="9" fontId="19" fillId="9" borderId="10" xfId="6" applyFont="1" applyFill="1" applyBorder="1" applyAlignment="1">
      <alignment horizontal="right" vertical="center" indent="1"/>
    </xf>
    <xf numFmtId="43" fontId="19" fillId="9" borderId="0" xfId="4" applyFont="1" applyFill="1" applyBorder="1" applyAlignment="1">
      <alignment horizontal="right" vertical="center" indent="1"/>
    </xf>
    <xf numFmtId="43" fontId="19" fillId="9" borderId="10" xfId="4" applyFont="1" applyFill="1" applyBorder="1" applyAlignment="1">
      <alignment horizontal="right" vertical="center" indent="1"/>
    </xf>
    <xf numFmtId="14" fontId="19" fillId="9" borderId="10" xfId="8" applyFont="1" applyFill="1" applyBorder="1" applyAlignment="1">
      <alignment horizontal="right" vertical="center" indent="1"/>
    </xf>
    <xf numFmtId="0" fontId="19" fillId="9" borderId="0" xfId="0" applyFont="1" applyFill="1" applyAlignment="1">
      <alignment horizontal="right" vertical="center" indent="1"/>
    </xf>
    <xf numFmtId="44" fontId="19" fillId="9" borderId="10" xfId="5" applyFont="1" applyFill="1" applyBorder="1" applyAlignment="1">
      <alignment horizontal="right" vertical="center" indent="1"/>
    </xf>
    <xf numFmtId="44" fontId="19" fillId="9" borderId="0" xfId="5" applyFont="1" applyFill="1" applyBorder="1" applyAlignment="1">
      <alignment horizontal="left" vertical="center" indent="1"/>
    </xf>
    <xf numFmtId="0" fontId="37" fillId="8" borderId="10" xfId="3" applyNumberFormat="1" applyFont="1" applyFill="1" applyBorder="1" applyAlignment="1">
      <alignment horizontal="center" vertical="center" wrapText="1"/>
    </xf>
    <xf numFmtId="0" fontId="37" fillId="8" borderId="10" xfId="3" applyFont="1" applyFill="1" applyBorder="1" applyAlignment="1">
      <alignment horizontal="left" vertical="center" wrapText="1" indent="1"/>
    </xf>
    <xf numFmtId="0" fontId="37" fillId="8" borderId="10" xfId="3" applyNumberFormat="1" applyFont="1" applyFill="1" applyBorder="1" applyAlignment="1">
      <alignment horizontal="left" vertical="center" wrapText="1" indent="1"/>
    </xf>
    <xf numFmtId="43" fontId="19" fillId="0" borderId="0" xfId="4" applyFont="1" applyFill="1" applyBorder="1" applyAlignment="1">
      <alignment horizontal="left" vertical="center" indent="1"/>
    </xf>
    <xf numFmtId="14" fontId="19" fillId="0" borderId="0" xfId="8" applyFont="1" applyFill="1" applyBorder="1" applyAlignment="1">
      <alignment horizontal="left" vertical="center" indent="1"/>
    </xf>
    <xf numFmtId="44" fontId="19" fillId="0" borderId="0" xfId="5" applyFont="1" applyFill="1" applyBorder="1" applyAlignment="1">
      <alignment horizontal="left" vertical="center" indent="1"/>
    </xf>
    <xf numFmtId="44" fontId="37" fillId="0" borderId="0" xfId="5" applyFont="1" applyFill="1" applyBorder="1" applyAlignment="1">
      <alignment horizontal="left" vertical="center" indent="1"/>
    </xf>
    <xf numFmtId="43" fontId="19" fillId="0" borderId="0" xfId="4" applyFont="1" applyFill="1" applyAlignment="1">
      <alignment horizontal="left" vertical="center" indent="1"/>
    </xf>
    <xf numFmtId="14" fontId="19" fillId="0" borderId="0" xfId="8" applyFont="1" applyFill="1" applyAlignment="1">
      <alignment horizontal="left" vertical="center" indent="1"/>
    </xf>
    <xf numFmtId="44" fontId="19" fillId="0" borderId="0" xfId="5" applyFont="1" applyFill="1" applyAlignment="1">
      <alignment horizontal="left" vertical="center" indent="1"/>
    </xf>
    <xf numFmtId="0" fontId="14" fillId="10" borderId="0" xfId="9" applyFont="1" applyFill="1"/>
    <xf numFmtId="0" fontId="14" fillId="10" borderId="0" xfId="9" applyFont="1" applyFill="1" applyAlignment="1">
      <alignment horizontal="center"/>
    </xf>
    <xf numFmtId="0" fontId="14" fillId="10" borderId="14" xfId="9" applyFont="1" applyFill="1" applyBorder="1" applyAlignment="1">
      <alignment horizontal="left" vertical="top" wrapText="1" indent="1"/>
    </xf>
    <xf numFmtId="0" fontId="14" fillId="10" borderId="14" xfId="14" applyFont="1" applyFill="1" applyBorder="1" applyAlignment="1">
      <alignment horizontal="left" vertical="center" indent="1"/>
    </xf>
    <xf numFmtId="0" fontId="14" fillId="10" borderId="0" xfId="9" applyFont="1" applyFill="1" applyAlignment="1">
      <alignment vertical="center"/>
    </xf>
    <xf numFmtId="0" fontId="14" fillId="10" borderId="0" xfId="9" applyFont="1" applyFill="1" applyAlignment="1">
      <alignment horizontal="left" vertical="top" wrapText="1" indent="1"/>
    </xf>
    <xf numFmtId="0" fontId="14" fillId="10" borderId="0" xfId="14" applyFont="1" applyFill="1" applyBorder="1" applyAlignment="1">
      <alignment horizontal="left" vertical="center" indent="1"/>
    </xf>
    <xf numFmtId="0" fontId="17" fillId="10" borderId="15" xfId="13" applyFont="1" applyFill="1" applyBorder="1" applyAlignment="1">
      <alignment horizontal="left" vertical="center" indent="1"/>
    </xf>
    <xf numFmtId="7" fontId="17" fillId="10" borderId="15" xfId="9" applyNumberFormat="1" applyFont="1" applyFill="1" applyBorder="1" applyAlignment="1">
      <alignment horizontal="left" vertical="center" indent="1"/>
    </xf>
    <xf numFmtId="7" fontId="17" fillId="10" borderId="0" xfId="9" applyNumberFormat="1" applyFont="1" applyFill="1" applyAlignment="1">
      <alignment horizontal="left" vertical="center" indent="1"/>
    </xf>
    <xf numFmtId="0" fontId="17" fillId="10" borderId="0" xfId="13" applyFont="1" applyFill="1" applyAlignment="1">
      <alignment horizontal="left" vertical="center" indent="1"/>
    </xf>
    <xf numFmtId="164" fontId="17" fillId="10" borderId="15" xfId="9" applyNumberFormat="1" applyFont="1" applyFill="1" applyBorder="1" applyAlignment="1">
      <alignment horizontal="left" vertical="center" indent="1"/>
    </xf>
    <xf numFmtId="164" fontId="17" fillId="10" borderId="0" xfId="9" applyNumberFormat="1" applyFont="1" applyFill="1"/>
    <xf numFmtId="0" fontId="17" fillId="10" borderId="16" xfId="13" applyFont="1" applyFill="1" applyBorder="1" applyAlignment="1">
      <alignment horizontal="left" vertical="center" indent="1"/>
    </xf>
    <xf numFmtId="10" fontId="17" fillId="10" borderId="16" xfId="11" applyNumberFormat="1" applyFont="1" applyFill="1" applyBorder="1" applyAlignment="1">
      <alignment horizontal="left" vertical="center" indent="1"/>
    </xf>
    <xf numFmtId="10" fontId="17" fillId="10" borderId="0" xfId="11" applyNumberFormat="1" applyFont="1" applyFill="1" applyBorder="1" applyAlignment="1">
      <alignment horizontal="left" vertical="center" indent="1"/>
    </xf>
    <xf numFmtId="0" fontId="17" fillId="10" borderId="0" xfId="13" applyFont="1" applyFill="1" applyBorder="1" applyAlignment="1">
      <alignment horizontal="left" vertical="center" indent="1"/>
    </xf>
    <xf numFmtId="10" fontId="17" fillId="10" borderId="0" xfId="11" applyNumberFormat="1" applyFont="1" applyFill="1" applyAlignment="1">
      <alignment vertical="top"/>
    </xf>
    <xf numFmtId="0" fontId="14" fillId="10" borderId="0" xfId="9" applyFont="1" applyFill="1" applyAlignment="1">
      <alignment horizontal="left" indent="1"/>
    </xf>
    <xf numFmtId="0" fontId="17" fillId="10" borderId="0" xfId="10" applyFont="1" applyFill="1" applyBorder="1" applyAlignment="1">
      <alignment horizontal="left" indent="1"/>
    </xf>
    <xf numFmtId="0" fontId="17" fillId="10" borderId="17" xfId="9" applyFont="1" applyFill="1" applyBorder="1" applyAlignment="1">
      <alignment horizontal="left" vertical="center" indent="1"/>
    </xf>
    <xf numFmtId="0" fontId="17" fillId="10" borderId="18" xfId="9" applyFont="1" applyFill="1" applyBorder="1" applyAlignment="1">
      <alignment horizontal="left" vertical="center" indent="1"/>
    </xf>
    <xf numFmtId="0" fontId="17" fillId="10" borderId="19" xfId="9" applyFont="1" applyFill="1" applyBorder="1" applyAlignment="1">
      <alignment horizontal="left" vertical="center" indent="1"/>
    </xf>
    <xf numFmtId="0" fontId="17" fillId="10" borderId="0" xfId="9" applyFont="1" applyFill="1" applyAlignment="1">
      <alignment horizontal="left" vertical="center" indent="1"/>
    </xf>
    <xf numFmtId="0" fontId="17" fillId="10" borderId="20" xfId="9" applyFont="1" applyFill="1" applyBorder="1" applyAlignment="1">
      <alignment horizontal="left" vertical="center" indent="1"/>
    </xf>
    <xf numFmtId="0" fontId="17" fillId="10" borderId="21" xfId="9" applyFont="1" applyFill="1" applyBorder="1" applyAlignment="1">
      <alignment horizontal="left" vertical="center" indent="1"/>
    </xf>
    <xf numFmtId="0" fontId="17" fillId="10" borderId="22" xfId="9" applyFont="1" applyFill="1" applyBorder="1" applyAlignment="1">
      <alignment horizontal="left" vertical="center" indent="1"/>
    </xf>
    <xf numFmtId="0" fontId="17" fillId="10" borderId="23" xfId="9" applyFont="1" applyFill="1" applyBorder="1" applyAlignment="1">
      <alignment horizontal="left" vertical="center" indent="1"/>
    </xf>
    <xf numFmtId="0" fontId="17" fillId="10" borderId="24" xfId="9" applyFont="1" applyFill="1" applyBorder="1" applyAlignment="1">
      <alignment horizontal="left" vertical="center" indent="1"/>
    </xf>
    <xf numFmtId="0" fontId="17" fillId="10" borderId="25" xfId="9" applyFont="1" applyFill="1" applyBorder="1" applyAlignment="1">
      <alignment horizontal="left" vertical="center" indent="1"/>
    </xf>
    <xf numFmtId="0" fontId="14" fillId="10" borderId="26" xfId="9" applyFont="1" applyFill="1" applyBorder="1" applyAlignment="1">
      <alignment horizontal="left" vertical="center" indent="1"/>
    </xf>
    <xf numFmtId="0" fontId="14" fillId="10" borderId="27" xfId="9" applyFont="1" applyFill="1" applyBorder="1" applyAlignment="1">
      <alignment horizontal="left" vertical="center" indent="1"/>
    </xf>
    <xf numFmtId="0" fontId="14" fillId="10" borderId="27" xfId="9" applyFont="1" applyFill="1" applyBorder="1" applyAlignment="1">
      <alignment horizontal="left" vertical="center" wrapText="1" indent="1"/>
    </xf>
    <xf numFmtId="0" fontId="14" fillId="10" borderId="28" xfId="9" applyFont="1" applyFill="1" applyBorder="1" applyAlignment="1">
      <alignment horizontal="left" vertical="center" wrapText="1" indent="1"/>
    </xf>
    <xf numFmtId="0" fontId="14" fillId="10" borderId="0" xfId="9" applyFont="1" applyFill="1" applyAlignment="1">
      <alignment horizontal="left" vertical="center" wrapText="1" indent="1"/>
    </xf>
    <xf numFmtId="0" fontId="17" fillId="10" borderId="29" xfId="9" applyFont="1" applyFill="1" applyBorder="1" applyAlignment="1">
      <alignment horizontal="left" vertical="center" wrapText="1" indent="1"/>
    </xf>
    <xf numFmtId="0" fontId="17" fillId="10" borderId="30" xfId="9" applyFont="1" applyFill="1" applyBorder="1" applyAlignment="1">
      <alignment horizontal="left" vertical="center" wrapText="1" indent="1"/>
    </xf>
    <xf numFmtId="0" fontId="17" fillId="10" borderId="31" xfId="9" applyFont="1" applyFill="1" applyBorder="1" applyAlignment="1">
      <alignment horizontal="left" vertical="center" wrapText="1" indent="1"/>
    </xf>
    <xf numFmtId="0" fontId="17" fillId="10" borderId="0" xfId="9" applyFont="1" applyFill="1" applyAlignment="1">
      <alignment horizontal="left" vertical="center" wrapText="1" indent="1"/>
    </xf>
    <xf numFmtId="0" fontId="17" fillId="10" borderId="32" xfId="9" applyFont="1" applyFill="1" applyBorder="1" applyAlignment="1">
      <alignment horizontal="left" vertical="center" wrapText="1" indent="1"/>
    </xf>
    <xf numFmtId="0" fontId="17" fillId="10" borderId="33" xfId="9" applyFont="1" applyFill="1" applyBorder="1" applyAlignment="1">
      <alignment horizontal="left" vertical="center" wrapText="1" indent="1"/>
    </xf>
    <xf numFmtId="0" fontId="17" fillId="10" borderId="34" xfId="9" applyFont="1" applyFill="1" applyBorder="1" applyAlignment="1">
      <alignment horizontal="left" vertical="center" wrapText="1" indent="1"/>
    </xf>
    <xf numFmtId="0" fontId="14" fillId="10" borderId="35" xfId="9" applyFont="1" applyFill="1" applyBorder="1" applyAlignment="1">
      <alignment horizontal="left" vertical="center" indent="1"/>
    </xf>
    <xf numFmtId="0" fontId="14" fillId="10" borderId="36" xfId="9" applyFont="1" applyFill="1" applyBorder="1" applyAlignment="1">
      <alignment horizontal="left" vertical="center" indent="1"/>
    </xf>
    <xf numFmtId="164" fontId="14" fillId="10" borderId="36" xfId="12" applyNumberFormat="1" applyFont="1" applyFill="1" applyBorder="1" applyAlignment="1">
      <alignment horizontal="left" vertical="center" indent="1"/>
    </xf>
    <xf numFmtId="10" fontId="14" fillId="10" borderId="37" xfId="11" applyNumberFormat="1" applyFont="1" applyFill="1" applyBorder="1" applyAlignment="1">
      <alignment horizontal="left" vertical="center" indent="1"/>
    </xf>
    <xf numFmtId="10" fontId="14" fillId="10" borderId="0" xfId="11" applyNumberFormat="1" applyFont="1" applyFill="1" applyBorder="1" applyAlignment="1">
      <alignment horizontal="left" vertical="center" indent="1"/>
    </xf>
    <xf numFmtId="14" fontId="17" fillId="10" borderId="38" xfId="11" applyNumberFormat="1" applyFont="1" applyFill="1" applyBorder="1" applyAlignment="1">
      <alignment horizontal="left" vertical="center" indent="1"/>
    </xf>
    <xf numFmtId="0" fontId="17" fillId="10" borderId="39" xfId="9" applyFont="1" applyFill="1" applyBorder="1" applyAlignment="1">
      <alignment horizontal="left" vertical="center" indent="1"/>
    </xf>
    <xf numFmtId="14" fontId="17" fillId="10" borderId="40" xfId="9" applyNumberFormat="1" applyFont="1" applyFill="1" applyBorder="1" applyAlignment="1">
      <alignment horizontal="left" vertical="center" indent="1"/>
    </xf>
    <xf numFmtId="14" fontId="17" fillId="10" borderId="0" xfId="9" applyNumberFormat="1" applyFont="1" applyFill="1" applyAlignment="1">
      <alignment horizontal="left" vertical="center" indent="1"/>
    </xf>
    <xf numFmtId="164" fontId="17" fillId="10" borderId="41" xfId="12" applyNumberFormat="1" applyFont="1" applyFill="1" applyBorder="1" applyAlignment="1">
      <alignment horizontal="left" vertical="center" indent="1"/>
    </xf>
    <xf numFmtId="164" fontId="17" fillId="10" borderId="42" xfId="12" applyNumberFormat="1" applyFont="1" applyFill="1" applyBorder="1" applyAlignment="1">
      <alignment horizontal="left" vertical="center" indent="1"/>
    </xf>
    <xf numFmtId="164" fontId="17" fillId="10" borderId="43" xfId="12" applyNumberFormat="1" applyFont="1" applyFill="1" applyBorder="1" applyAlignment="1">
      <alignment horizontal="left" vertical="center" indent="1"/>
    </xf>
    <xf numFmtId="0" fontId="14" fillId="10" borderId="44" xfId="9" applyFont="1" applyFill="1" applyBorder="1" applyAlignment="1">
      <alignment horizontal="left" vertical="center" indent="1"/>
    </xf>
    <xf numFmtId="0" fontId="14" fillId="10" borderId="45" xfId="9" applyFont="1" applyFill="1" applyBorder="1" applyAlignment="1">
      <alignment horizontal="left" vertical="center" indent="1"/>
    </xf>
    <xf numFmtId="164" fontId="14" fillId="10" borderId="45" xfId="12" applyNumberFormat="1" applyFont="1" applyFill="1" applyBorder="1" applyAlignment="1">
      <alignment horizontal="left" vertical="center" indent="1"/>
    </xf>
    <xf numFmtId="10" fontId="14" fillId="10" borderId="46" xfId="11" applyNumberFormat="1" applyFont="1" applyFill="1" applyBorder="1" applyAlignment="1">
      <alignment horizontal="left" vertical="center" indent="1"/>
    </xf>
    <xf numFmtId="14" fontId="17" fillId="10" borderId="47" xfId="11" applyNumberFormat="1" applyFont="1" applyFill="1" applyBorder="1" applyAlignment="1">
      <alignment horizontal="left" vertical="center" indent="1"/>
    </xf>
    <xf numFmtId="0" fontId="17" fillId="10" borderId="48" xfId="9" applyFont="1" applyFill="1" applyBorder="1" applyAlignment="1">
      <alignment horizontal="left" vertical="center" indent="1"/>
    </xf>
    <xf numFmtId="14" fontId="17" fillId="10" borderId="49" xfId="9" applyNumberFormat="1" applyFont="1" applyFill="1" applyBorder="1" applyAlignment="1">
      <alignment horizontal="left" vertical="center" indent="1"/>
    </xf>
    <xf numFmtId="164" fontId="17" fillId="10" borderId="50" xfId="12" applyNumberFormat="1" applyFont="1" applyFill="1" applyBorder="1" applyAlignment="1">
      <alignment horizontal="left" vertical="center" indent="1"/>
    </xf>
    <xf numFmtId="164" fontId="17" fillId="10" borderId="51" xfId="12" applyNumberFormat="1" applyFont="1" applyFill="1" applyBorder="1" applyAlignment="1">
      <alignment horizontal="left" vertical="center" indent="1"/>
    </xf>
    <xf numFmtId="164" fontId="17" fillId="10" borderId="52" xfId="12" applyNumberFormat="1" applyFont="1" applyFill="1" applyBorder="1" applyAlignment="1">
      <alignment horizontal="left" vertical="center" indent="1"/>
    </xf>
    <xf numFmtId="0" fontId="14" fillId="10" borderId="53" xfId="9" applyFont="1" applyFill="1" applyBorder="1" applyAlignment="1">
      <alignment horizontal="left" vertical="center" indent="1"/>
    </xf>
    <xf numFmtId="0" fontId="14" fillId="10" borderId="54" xfId="9" applyFont="1" applyFill="1" applyBorder="1" applyAlignment="1">
      <alignment horizontal="left" vertical="center" indent="1"/>
    </xf>
    <xf numFmtId="164" fontId="14" fillId="10" borderId="54" xfId="9" applyNumberFormat="1" applyFont="1" applyFill="1" applyBorder="1" applyAlignment="1">
      <alignment horizontal="left" vertical="center" indent="1"/>
    </xf>
    <xf numFmtId="10" fontId="14" fillId="10" borderId="55" xfId="9" applyNumberFormat="1" applyFont="1" applyFill="1" applyBorder="1" applyAlignment="1">
      <alignment horizontal="left" vertical="center" indent="1"/>
    </xf>
    <xf numFmtId="10" fontId="14" fillId="10" borderId="0" xfId="9" applyNumberFormat="1" applyFont="1" applyFill="1" applyAlignment="1">
      <alignment horizontal="left" vertical="center" indent="1"/>
    </xf>
    <xf numFmtId="10" fontId="17" fillId="10" borderId="56" xfId="9" applyNumberFormat="1" applyFont="1" applyFill="1" applyBorder="1" applyAlignment="1">
      <alignment horizontal="left" vertical="center" indent="1"/>
    </xf>
    <xf numFmtId="0" fontId="17" fillId="10" borderId="57" xfId="9" applyFont="1" applyFill="1" applyBorder="1" applyAlignment="1">
      <alignment horizontal="left" vertical="center" indent="1"/>
    </xf>
    <xf numFmtId="0" fontId="17" fillId="10" borderId="58" xfId="9" applyFont="1" applyFill="1" applyBorder="1" applyAlignment="1">
      <alignment horizontal="left" vertical="center" indent="1"/>
    </xf>
    <xf numFmtId="164" fontId="17" fillId="10" borderId="59" xfId="9" applyNumberFormat="1" applyFont="1" applyFill="1" applyBorder="1" applyAlignment="1">
      <alignment horizontal="left" vertical="center" indent="1"/>
    </xf>
    <xf numFmtId="164" fontId="17" fillId="10" borderId="60" xfId="9" applyNumberFormat="1" applyFont="1" applyFill="1" applyBorder="1" applyAlignment="1">
      <alignment horizontal="left" vertical="center" indent="1"/>
    </xf>
    <xf numFmtId="164" fontId="17" fillId="10" borderId="61" xfId="9" applyNumberFormat="1" applyFont="1" applyFill="1" applyBorder="1" applyAlignment="1">
      <alignment horizontal="left" vertical="center" indent="1"/>
    </xf>
    <xf numFmtId="0" fontId="17" fillId="10" borderId="26" xfId="9" applyFont="1" applyFill="1" applyBorder="1" applyAlignment="1">
      <alignment horizontal="left" vertical="center" indent="1"/>
    </xf>
    <xf numFmtId="0" fontId="17" fillId="10" borderId="27" xfId="9" applyFont="1" applyFill="1" applyBorder="1" applyAlignment="1">
      <alignment horizontal="left" vertical="center" indent="1"/>
    </xf>
    <xf numFmtId="164" fontId="17" fillId="10" borderId="27" xfId="9" applyNumberFormat="1" applyFont="1" applyFill="1" applyBorder="1" applyAlignment="1">
      <alignment horizontal="left" vertical="center" indent="1"/>
    </xf>
    <xf numFmtId="10" fontId="17" fillId="10" borderId="28" xfId="11" applyNumberFormat="1" applyFont="1" applyFill="1" applyBorder="1" applyAlignment="1">
      <alignment horizontal="left" vertical="center" indent="1"/>
    </xf>
    <xf numFmtId="10" fontId="17" fillId="10" borderId="29" xfId="11" applyNumberFormat="1" applyFont="1" applyFill="1" applyBorder="1" applyAlignment="1">
      <alignment horizontal="left" vertical="center" indent="1"/>
    </xf>
    <xf numFmtId="10" fontId="17" fillId="10" borderId="30" xfId="11" applyNumberFormat="1" applyFont="1" applyFill="1" applyBorder="1" applyAlignment="1">
      <alignment horizontal="left" vertical="center" indent="1"/>
    </xf>
    <xf numFmtId="10" fontId="17" fillId="10" borderId="31" xfId="11" applyNumberFormat="1" applyFont="1" applyFill="1" applyBorder="1" applyAlignment="1">
      <alignment horizontal="left" vertical="center" indent="1"/>
    </xf>
    <xf numFmtId="164" fontId="17" fillId="10" borderId="32" xfId="9" applyNumberFormat="1" applyFont="1" applyFill="1" applyBorder="1" applyAlignment="1">
      <alignment horizontal="left" vertical="center" indent="1"/>
    </xf>
    <xf numFmtId="164" fontId="17" fillId="10" borderId="33" xfId="9" applyNumberFormat="1" applyFont="1" applyFill="1" applyBorder="1" applyAlignment="1">
      <alignment horizontal="left" vertical="center" indent="1"/>
    </xf>
    <xf numFmtId="164" fontId="17" fillId="10" borderId="34" xfId="9" applyNumberFormat="1" applyFont="1" applyFill="1" applyBorder="1" applyAlignment="1">
      <alignment horizontal="left" vertical="center" indent="1"/>
    </xf>
    <xf numFmtId="0" fontId="17" fillId="10" borderId="0" xfId="10" applyFont="1" applyFill="1" applyBorder="1" applyAlignment="1">
      <alignment horizontal="right"/>
    </xf>
    <xf numFmtId="0" fontId="17" fillId="10" borderId="0" xfId="10" applyFont="1" applyFill="1" applyAlignment="1">
      <alignment horizontal="left" vertical="center"/>
    </xf>
    <xf numFmtId="0" fontId="14" fillId="10" borderId="0" xfId="9" applyFont="1" applyFill="1" applyAlignment="1">
      <alignment horizontal="center" vertical="center"/>
    </xf>
    <xf numFmtId="167" fontId="17" fillId="10" borderId="0" xfId="9" applyNumberFormat="1" applyFont="1" applyFill="1" applyAlignment="1"/>
    <xf numFmtId="0" fontId="1" fillId="0" borderId="0" xfId="18" applyFont="1">
      <alignment horizontal="left" vertical="center" wrapText="1" indent="1"/>
    </xf>
    <xf numFmtId="0" fontId="38" fillId="0" borderId="69" xfId="21" applyFont="1" applyFill="1" applyBorder="1" applyAlignment="1">
      <alignment horizontal="left" vertical="center"/>
    </xf>
    <xf numFmtId="0" fontId="1" fillId="0" borderId="69" xfId="25" applyFont="1" applyFill="1" applyBorder="1">
      <alignment horizontal="left" vertical="center" indent="3"/>
    </xf>
    <xf numFmtId="0" fontId="1" fillId="0" borderId="0" xfId="25" applyFont="1" applyFill="1" applyBorder="1" applyAlignment="1">
      <alignment horizontal="left" vertical="center" indent="1"/>
    </xf>
    <xf numFmtId="0" fontId="1" fillId="0" borderId="0" xfId="25" applyFont="1" applyFill="1" applyBorder="1">
      <alignment horizontal="left" vertical="center" indent="3"/>
    </xf>
    <xf numFmtId="0" fontId="1" fillId="0" borderId="68" xfId="25" applyFont="1" applyFill="1">
      <alignment horizontal="left" vertical="center" indent="3"/>
    </xf>
    <xf numFmtId="0" fontId="38" fillId="6" borderId="0" xfId="23" applyFont="1" applyFill="1" applyBorder="1" applyAlignment="1">
      <alignment horizontal="left" vertical="center" indent="1"/>
    </xf>
    <xf numFmtId="0" fontId="38" fillId="6" borderId="0" xfId="23" applyFont="1" applyFill="1" applyBorder="1" applyAlignment="1">
      <alignment horizontal="right" vertical="center" indent="1"/>
    </xf>
    <xf numFmtId="0" fontId="1" fillId="0" borderId="0" xfId="18" applyFont="1" applyAlignment="1">
      <alignment horizontal="left" vertical="center" indent="19"/>
    </xf>
    <xf numFmtId="0" fontId="1" fillId="0" borderId="67" xfId="18" applyFont="1" applyBorder="1" applyAlignment="1">
      <alignment horizontal="left" vertical="center" indent="1"/>
    </xf>
    <xf numFmtId="167" fontId="1" fillId="0" borderId="67" xfId="20" applyNumberFormat="1" applyFont="1" applyBorder="1">
      <alignment horizontal="right" vertical="center" indent="1"/>
    </xf>
    <xf numFmtId="0" fontId="1" fillId="0" borderId="65" xfId="24" applyFont="1" applyBorder="1" applyAlignment="1">
      <alignment horizontal="left" vertical="center" indent="1"/>
    </xf>
    <xf numFmtId="167" fontId="1" fillId="0" borderId="65" xfId="20" applyNumberFormat="1" applyFont="1" applyBorder="1">
      <alignment horizontal="right" vertical="center" indent="1"/>
    </xf>
    <xf numFmtId="0" fontId="1" fillId="0" borderId="0" xfId="18" applyFont="1" applyAlignment="1">
      <alignment horizontal="right" vertical="center" wrapText="1" indent="1"/>
    </xf>
    <xf numFmtId="167" fontId="38" fillId="6" borderId="0" xfId="20" applyNumberFormat="1" applyFont="1" applyFill="1" applyBorder="1">
      <alignment horizontal="right" vertical="center" indent="1"/>
    </xf>
    <xf numFmtId="9" fontId="38" fillId="6" borderId="0" xfId="22" applyFont="1" applyFill="1" applyBorder="1" applyAlignment="1">
      <alignment horizontal="right" vertical="center" indent="1"/>
    </xf>
    <xf numFmtId="0" fontId="38" fillId="0" borderId="0" xfId="21" applyFont="1" applyFill="1" applyBorder="1" applyAlignment="1">
      <alignment horizontal="left" vertical="center"/>
    </xf>
    <xf numFmtId="0" fontId="38" fillId="0" borderId="0" xfId="21" applyFont="1" applyFill="1" applyBorder="1" applyAlignment="1">
      <alignment vertical="center"/>
    </xf>
    <xf numFmtId="0" fontId="1" fillId="0" borderId="0" xfId="18" applyFont="1" applyAlignment="1">
      <alignment horizontal="left" vertical="center" indent="1"/>
    </xf>
    <xf numFmtId="167" fontId="1" fillId="0" borderId="0" xfId="20" applyNumberFormat="1" applyFont="1" applyFill="1" applyBorder="1" applyAlignment="1">
      <alignment horizontal="left" vertical="center" indent="1"/>
    </xf>
    <xf numFmtId="0" fontId="1" fillId="0" borderId="0" xfId="19" applyFont="1" applyAlignment="1">
      <alignment horizontal="left" vertical="center" wrapText="1" indent="1"/>
    </xf>
    <xf numFmtId="167" fontId="1" fillId="0" borderId="0" xfId="19" applyNumberFormat="1" applyFont="1" applyAlignment="1">
      <alignment horizontal="left" vertical="center" indent="1"/>
    </xf>
    <xf numFmtId="167" fontId="1" fillId="0" borderId="0" xfId="20" applyNumberFormat="1" applyFont="1" applyFill="1" applyAlignment="1">
      <alignment horizontal="left" vertical="center" indent="1"/>
    </xf>
    <xf numFmtId="0" fontId="34" fillId="0" borderId="0" xfId="0" applyFont="1" applyAlignment="1">
      <alignment horizontal="center"/>
    </xf>
    <xf numFmtId="0" fontId="33" fillId="0" borderId="0" xfId="0" applyFont="1" applyAlignment="1">
      <alignment horizontal="center"/>
    </xf>
    <xf numFmtId="0" fontId="39" fillId="9" borderId="0" xfId="0" applyFont="1" applyFill="1" applyAlignment="1">
      <alignment horizontal="center"/>
    </xf>
    <xf numFmtId="0" fontId="33" fillId="0" borderId="70" xfId="1" applyFont="1" applyBorder="1" applyAlignment="1">
      <alignment horizontal="center"/>
    </xf>
    <xf numFmtId="0" fontId="32" fillId="0" borderId="70" xfId="0" applyFont="1" applyBorder="1" applyAlignment="1">
      <alignment horizontal="center"/>
    </xf>
    <xf numFmtId="0" fontId="15" fillId="0" borderId="1" xfId="3" applyFont="1" applyBorder="1" applyAlignment="1">
      <alignment horizontal="left" vertical="center"/>
    </xf>
    <xf numFmtId="8" fontId="15" fillId="2" borderId="1" xfId="0" applyNumberFormat="1" applyFont="1" applyFill="1" applyBorder="1" applyAlignment="1">
      <alignment vertical="center"/>
    </xf>
    <xf numFmtId="0" fontId="35" fillId="0" borderId="5" xfId="2" applyFont="1" applyBorder="1" applyAlignment="1">
      <alignment vertical="center"/>
    </xf>
    <xf numFmtId="0" fontId="35" fillId="0" borderId="11" xfId="2" applyFont="1" applyBorder="1" applyAlignment="1">
      <alignment vertical="center"/>
    </xf>
    <xf numFmtId="0" fontId="15" fillId="0" borderId="2" xfId="2" applyFont="1" applyBorder="1" applyAlignment="1">
      <alignment vertical="center" wrapText="1"/>
    </xf>
    <xf numFmtId="0" fontId="15" fillId="0" borderId="3" xfId="2" applyFont="1" applyBorder="1" applyAlignment="1">
      <alignment vertical="center" wrapText="1"/>
    </xf>
    <xf numFmtId="0" fontId="15" fillId="0" borderId="4" xfId="2" applyFont="1" applyBorder="1" applyAlignment="1">
      <alignment vertical="center" wrapText="1"/>
    </xf>
    <xf numFmtId="0" fontId="15" fillId="0" borderId="1" xfId="2" applyFont="1" applyBorder="1" applyAlignment="1">
      <alignment horizontal="left" vertical="center" wrapText="1"/>
    </xf>
    <xf numFmtId="0" fontId="15" fillId="0" borderId="1" xfId="2" applyFont="1" applyBorder="1" applyAlignment="1">
      <alignment horizontal="left" vertical="center"/>
    </xf>
    <xf numFmtId="0" fontId="15" fillId="0" borderId="5" xfId="2" applyFont="1" applyBorder="1" applyAlignment="1">
      <alignment vertical="center"/>
    </xf>
    <xf numFmtId="0" fontId="15" fillId="0" borderId="6" xfId="2" applyFont="1" applyBorder="1" applyAlignment="1">
      <alignment vertical="center"/>
    </xf>
    <xf numFmtId="0" fontId="15" fillId="0" borderId="11" xfId="2" applyFont="1" applyBorder="1" applyAlignment="1">
      <alignment vertical="center"/>
    </xf>
    <xf numFmtId="0" fontId="37" fillId="13" borderId="71" xfId="0" applyFont="1" applyFill="1" applyBorder="1" applyAlignment="1">
      <alignment horizontal="left" vertical="center" wrapText="1" indent="3"/>
    </xf>
    <xf numFmtId="0" fontId="37" fillId="13" borderId="72" xfId="0" applyFont="1" applyFill="1" applyBorder="1" applyAlignment="1">
      <alignment horizontal="left" vertical="center" wrapText="1" indent="3"/>
    </xf>
    <xf numFmtId="0" fontId="37" fillId="13" borderId="71" xfId="0" applyFont="1" applyFill="1" applyBorder="1" applyAlignment="1">
      <alignment horizontal="left" vertical="center" indent="3"/>
    </xf>
    <xf numFmtId="0" fontId="37" fillId="13" borderId="72" xfId="0" applyFont="1" applyFill="1" applyBorder="1" applyAlignment="1">
      <alignment horizontal="left" vertical="center" indent="3"/>
    </xf>
    <xf numFmtId="0" fontId="40" fillId="10" borderId="71" xfId="0" applyFont="1" applyFill="1" applyBorder="1" applyAlignment="1">
      <alignment horizontal="center"/>
    </xf>
    <xf numFmtId="0" fontId="40" fillId="10" borderId="72" xfId="0" applyFont="1" applyFill="1" applyBorder="1" applyAlignment="1">
      <alignment horizontal="center"/>
    </xf>
    <xf numFmtId="0" fontId="40" fillId="10" borderId="73" xfId="0" applyFont="1" applyFill="1" applyBorder="1" applyAlignment="1">
      <alignment horizontal="center"/>
    </xf>
    <xf numFmtId="0" fontId="37" fillId="9" borderId="0" xfId="2" applyFont="1" applyFill="1" applyBorder="1" applyAlignment="1">
      <alignment horizontal="left" vertical="center" indent="1"/>
    </xf>
    <xf numFmtId="0" fontId="41" fillId="10" borderId="0" xfId="7" applyFont="1" applyFill="1" applyBorder="1" applyAlignment="1">
      <alignment horizontal="center" vertical="center"/>
    </xf>
    <xf numFmtId="0" fontId="42" fillId="10" borderId="0" xfId="0" applyFont="1" applyFill="1" applyAlignment="1">
      <alignment horizontal="center" vertical="center"/>
    </xf>
    <xf numFmtId="0" fontId="39" fillId="10" borderId="0" xfId="9" applyFont="1" applyFill="1" applyBorder="1" applyAlignment="1">
      <alignment horizontal="center"/>
    </xf>
    <xf numFmtId="167" fontId="17" fillId="9" borderId="0" xfId="9" applyNumberFormat="1" applyFont="1" applyFill="1" applyBorder="1" applyAlignment="1">
      <alignment horizontal="center"/>
    </xf>
    <xf numFmtId="0" fontId="17" fillId="9" borderId="0" xfId="9" applyFont="1" applyFill="1" applyAlignment="1">
      <alignment horizontal="left" vertical="center" wrapText="1"/>
    </xf>
    <xf numFmtId="164" fontId="17" fillId="9" borderId="0" xfId="9" applyNumberFormat="1" applyFont="1" applyFill="1" applyAlignment="1">
      <alignment horizontal="center"/>
    </xf>
    <xf numFmtId="0" fontId="14" fillId="9" borderId="0" xfId="9" applyFont="1" applyFill="1" applyAlignment="1">
      <alignment horizontal="center"/>
    </xf>
    <xf numFmtId="164" fontId="17" fillId="9" borderId="0" xfId="9" applyNumberFormat="1" applyFont="1" applyFill="1" applyAlignment="1">
      <alignment horizontal="center" vertical="center"/>
    </xf>
    <xf numFmtId="0" fontId="14" fillId="9" borderId="0" xfId="9" applyFont="1" applyFill="1" applyAlignment="1">
      <alignment horizontal="center" vertical="center"/>
    </xf>
    <xf numFmtId="0" fontId="17" fillId="9" borderId="0" xfId="10" applyFont="1" applyFill="1" applyAlignment="1">
      <alignment horizontal="center" vertical="center"/>
    </xf>
    <xf numFmtId="0" fontId="17" fillId="9" borderId="0" xfId="10" applyFont="1" applyFill="1" applyBorder="1" applyAlignment="1">
      <alignment horizontal="center" vertical="center"/>
    </xf>
    <xf numFmtId="0" fontId="17" fillId="9" borderId="0" xfId="9" applyFont="1" applyFill="1" applyAlignment="1">
      <alignment horizontal="center" vertical="center"/>
    </xf>
    <xf numFmtId="14" fontId="17" fillId="9" borderId="0" xfId="9" applyNumberFormat="1" applyFont="1" applyFill="1" applyAlignment="1">
      <alignment horizontal="center"/>
    </xf>
  </cellXfs>
  <cellStyles count="26">
    <cellStyle name="Accent1 2" xfId="17" xr:uid="{34476E63-837D-43B0-A98E-AEE899413E21}"/>
    <cellStyle name="Comma" xfId="4" builtinId="3"/>
    <cellStyle name="Currency" xfId="5" builtinId="4"/>
    <cellStyle name="Currency 2" xfId="12" xr:uid="{9DD752CC-6574-4F83-B307-71B1F03ADC0C}"/>
    <cellStyle name="Currency 3" xfId="20" xr:uid="{2ECA18F9-76C0-4D6B-A59A-6632CBFD0028}"/>
    <cellStyle name="Date" xfId="8" xr:uid="{8119DDE4-4B97-47B0-A97D-B86F340E01BD}"/>
    <cellStyle name="Heading 1" xfId="1" builtinId="16" customBuiltin="1"/>
    <cellStyle name="Heading 1 2" xfId="14" xr:uid="{2F496929-D846-4849-80EA-4E9D9762BFA5}"/>
    <cellStyle name="Heading 1 2 2" xfId="21" xr:uid="{D121D88D-1AF3-4034-B97E-4119CD1ADEAA}"/>
    <cellStyle name="Heading 2" xfId="2" builtinId="17" customBuiltin="1"/>
    <cellStyle name="Heading 2 2" xfId="13" xr:uid="{FD916404-7246-4EB6-96E3-2705E9474CCA}"/>
    <cellStyle name="Heading 2 2 2" xfId="23" xr:uid="{F9647425-2A3C-4D2D-9C73-133731A2FF11}"/>
    <cellStyle name="Heading 3" xfId="3" builtinId="18" customBuiltin="1"/>
    <cellStyle name="Heading 4 2" xfId="10" xr:uid="{D42C454A-478A-498E-974C-30C21A887C2C}"/>
    <cellStyle name="Input 2" xfId="24" xr:uid="{3EC78A30-68C9-4551-8881-9D2F3E642828}"/>
    <cellStyle name="Normal" xfId="0" builtinId="0" customBuiltin="1"/>
    <cellStyle name="Normal 2" xfId="9" xr:uid="{BBE11210-8E8E-42BD-9FC9-45204C70089D}"/>
    <cellStyle name="Normal 3" xfId="15" xr:uid="{05E6DED1-2A90-4663-BD0E-2C3B5FE93DE7}"/>
    <cellStyle name="Normal 3 2" xfId="18" xr:uid="{5EBE99A7-A44E-4E41-A135-88F2E2395D7E}"/>
    <cellStyle name="Normal 4" xfId="19" xr:uid="{0FE17E20-5E3D-464E-A9A1-5A4075AD930C}"/>
    <cellStyle name="Percent" xfId="6" builtinId="5"/>
    <cellStyle name="Percent 2" xfId="11" xr:uid="{CDE01D8C-DB67-493F-924C-B290B55A467C}"/>
    <cellStyle name="Percent 2 2" xfId="22" xr:uid="{12AE8EF4-C66A-4833-8069-FB49AF278631}"/>
    <cellStyle name="Style 4" xfId="16" xr:uid="{7A93529D-954C-41F4-B121-A94CF08147F6}"/>
    <cellStyle name="Title" xfId="7" builtinId="15"/>
    <cellStyle name="Title 2" xfId="25" xr:uid="{BD5BCF05-FCA3-40E4-B7F4-22DEBB91C047}"/>
  </cellStyles>
  <dxfs count="273">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numFmt numFmtId="167" formatCode="&quot;$&quot;#,##0"/>
      <fill>
        <patternFill patternType="none">
          <fgColor indexed="64"/>
          <bgColor indexed="65"/>
        </patternFill>
      </fill>
      <alignment horizontal="left" vertical="center" textRotation="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numFmt numFmtId="167" formatCode="&quot;$&quot;#,##0"/>
      <fill>
        <patternFill patternType="none">
          <fgColor indexed="64"/>
          <bgColor indexed="65"/>
        </patternFill>
      </fill>
      <alignment horizontal="left" vertical="center" textRotation="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alignment horizontal="left" vertical="center" textRotation="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alignment horizontal="left" vertical="center" textRotation="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alignment horizontal="left" vertical="center" textRotation="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alignment horizontal="left" vertical="center" textRotation="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alignment horizontal="left" vertical="center" textRotation="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alignment horizontal="left" vertical="center" textRotation="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alignment horizontal="left" vertical="center" textRotation="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alignment horizontal="left" vertical="center" textRotation="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fill>
        <patternFill patternType="none">
          <fgColor indexed="64"/>
          <bgColor auto="1"/>
        </patternFill>
      </fill>
      <alignment horizontal="left" vertical="center" textRotation="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fill>
        <patternFill patternType="none">
          <fgColor indexed="64"/>
          <bgColor auto="1"/>
        </patternFill>
      </fill>
      <alignment horizontal="left" vertical="center" textRotation="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fill>
        <patternFill patternType="none">
          <fgColor indexed="64"/>
          <bgColor auto="1"/>
        </patternFill>
      </fill>
      <alignment horizontal="left" vertical="center" textRotation="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numFmt numFmtId="167" formatCode="&quot;$&quot;#,##0"/>
      <fill>
        <patternFill patternType="none">
          <fgColor indexed="64"/>
          <bgColor auto="1"/>
        </patternFill>
      </fill>
      <alignment horizontal="left" vertical="center" textRotation="0" indent="1" justifyLastLine="0" shrinkToFit="0" readingOrder="0"/>
    </dxf>
    <dxf>
      <font>
        <b val="0"/>
        <i val="0"/>
        <strike val="0"/>
        <condense val="0"/>
        <extend val="0"/>
        <outline val="0"/>
        <shadow val="0"/>
        <u val="none"/>
        <vertAlign val="baseline"/>
        <sz val="11"/>
        <color theme="1"/>
        <name val="Calibri"/>
        <family val="2"/>
        <scheme val="minor"/>
      </font>
      <alignment horizontal="left" vertical="center" textRotation="0" wrapText="1" indent="1" justifyLastLine="0" shrinkToFit="0" readingOrder="0"/>
    </dxf>
    <dxf>
      <font>
        <b val="0"/>
        <i val="0"/>
        <strike val="0"/>
        <outline val="0"/>
        <shadow val="0"/>
        <u val="none"/>
        <vertAlign val="baseline"/>
        <sz val="11"/>
        <color theme="1"/>
        <name val="Calibri"/>
        <family val="2"/>
        <scheme val="minor"/>
      </font>
      <fill>
        <patternFill patternType="none">
          <fgColor indexed="64"/>
          <bgColor auto="1"/>
        </patternFill>
      </fill>
      <alignment horizontal="left" vertical="center" textRotation="0" indent="1" justifyLastLine="0" shrinkToFit="0" readingOrder="0"/>
    </dxf>
    <dxf>
      <font>
        <b val="0"/>
        <i val="0"/>
        <strike val="0"/>
        <outline val="0"/>
        <shadow val="0"/>
        <u val="none"/>
        <vertAlign val="baseline"/>
        <sz val="11"/>
        <color theme="1"/>
        <name val="Calibri"/>
        <family val="2"/>
        <scheme val="minor"/>
      </font>
    </dxf>
    <dxf>
      <font>
        <b val="0"/>
        <i val="0"/>
        <strike val="0"/>
        <outline val="0"/>
        <shadow val="0"/>
        <u val="none"/>
        <vertAlign val="baseline"/>
        <sz val="11"/>
        <color theme="1"/>
        <name val="Calibri"/>
        <family val="2"/>
        <scheme val="minor"/>
      </font>
    </dxf>
    <dxf>
      <font>
        <b val="0"/>
        <i val="0"/>
        <strike val="0"/>
        <outline val="0"/>
        <shadow val="0"/>
        <u val="none"/>
        <vertAlign val="baseline"/>
        <sz val="11"/>
        <color theme="1"/>
        <name val="Calibri"/>
        <family val="2"/>
        <scheme val="minor"/>
      </font>
      <fill>
        <patternFill patternType="solid">
          <fgColor indexed="64"/>
          <bgColor theme="5" tint="0.39994506668294322"/>
        </patternFill>
      </fill>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numFmt numFmtId="167" formatCode="&quot;$&quot;#,##0"/>
      <fill>
        <patternFill patternType="none">
          <fgColor indexed="64"/>
          <bgColor indexed="65"/>
        </patternFill>
      </fill>
      <alignment horizontal="left" vertical="center" textRotation="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numFmt numFmtId="167" formatCode="&quot;$&quot;#,##0"/>
      <fill>
        <patternFill patternType="none">
          <fgColor indexed="64"/>
          <bgColor indexed="65"/>
        </patternFill>
      </fill>
      <alignment horizontal="left" vertical="center" textRotation="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numFmt numFmtId="167" formatCode="&quot;$&quot;#,##0"/>
      <fill>
        <patternFill patternType="none">
          <fgColor indexed="64"/>
          <bgColor indexed="65"/>
        </patternFill>
      </fill>
      <alignment horizontal="left" vertical="center" textRotation="0" wrapText="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numFmt numFmtId="167" formatCode="&quot;$&quot;#,##0"/>
      <fill>
        <patternFill patternType="none">
          <fgColor indexed="64"/>
          <bgColor indexed="65"/>
        </patternFill>
      </fill>
      <alignment horizontal="left" vertical="center" textRotation="0" wrapText="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numFmt numFmtId="167" formatCode="&quot;$&quot;#,##0"/>
      <fill>
        <patternFill patternType="none">
          <fgColor indexed="64"/>
          <bgColor indexed="65"/>
        </patternFill>
      </fill>
      <alignment horizontal="left" vertical="center" textRotation="0" wrapText="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numFmt numFmtId="167" formatCode="&quot;$&quot;#,##0"/>
      <fill>
        <patternFill patternType="none">
          <fgColor indexed="64"/>
          <bgColor indexed="65"/>
        </patternFill>
      </fill>
      <alignment horizontal="left" vertical="center" textRotation="0" wrapText="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numFmt numFmtId="167" formatCode="&quot;$&quot;#,##0"/>
      <fill>
        <patternFill patternType="none">
          <fgColor indexed="64"/>
          <bgColor indexed="65"/>
        </patternFill>
      </fill>
      <alignment horizontal="left" vertical="center" textRotation="0" wrapText="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numFmt numFmtId="167" formatCode="&quot;$&quot;#,##0"/>
      <fill>
        <patternFill patternType="none">
          <fgColor indexed="64"/>
          <bgColor indexed="65"/>
        </patternFill>
      </fill>
      <alignment horizontal="left" vertical="center" textRotation="0" wrapText="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numFmt numFmtId="167" formatCode="&quot;$&quot;#,##0"/>
      <fill>
        <patternFill patternType="none">
          <fgColor indexed="64"/>
          <bgColor indexed="65"/>
        </patternFill>
      </fill>
      <alignment horizontal="left" vertical="center" textRotation="0" wrapText="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numFmt numFmtId="167" formatCode="&quot;$&quot;#,##0"/>
      <fill>
        <patternFill patternType="none">
          <fgColor indexed="64"/>
          <bgColor indexed="65"/>
        </patternFill>
      </fill>
      <alignment horizontal="left" vertical="center" textRotation="0" wrapText="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numFmt numFmtId="167" formatCode="&quot;$&quot;#,##0"/>
      <fill>
        <patternFill patternType="none">
          <fgColor indexed="64"/>
          <bgColor indexed="65"/>
        </patternFill>
      </fill>
      <alignment horizontal="left" vertical="center" textRotation="0" wrapText="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numFmt numFmtId="167" formatCode="&quot;$&quot;#,##0"/>
      <fill>
        <patternFill patternType="none">
          <fgColor indexed="64"/>
          <bgColor indexed="65"/>
        </patternFill>
      </fill>
      <alignment horizontal="left" vertical="center" textRotation="0" wrapText="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numFmt numFmtId="167" formatCode="&quot;$&quot;#,##0"/>
      <fill>
        <patternFill patternType="none">
          <fgColor indexed="64"/>
          <bgColor indexed="65"/>
        </patternFill>
      </fill>
      <alignment horizontal="left" vertical="center" textRotation="0" wrapText="0" indent="1" justifyLastLine="0" shrinkToFit="0" readingOrder="0"/>
    </dxf>
    <dxf>
      <font>
        <b val="0"/>
        <i val="0"/>
        <strike val="0"/>
        <condense val="0"/>
        <extend val="0"/>
        <outline val="0"/>
        <shadow val="0"/>
        <u val="none"/>
        <vertAlign val="baseline"/>
        <sz val="11"/>
        <color theme="1"/>
        <name val="Calibri"/>
        <family val="2"/>
        <scheme val="minor"/>
      </font>
      <numFmt numFmtId="167" formatCode="&quot;$&quot;#,##0"/>
      <alignment horizontal="left" vertical="center" textRotation="0" wrapText="0" indent="1" justifyLastLine="0" shrinkToFit="0" readingOrder="0"/>
    </dxf>
    <dxf>
      <font>
        <b val="0"/>
        <i val="0"/>
        <strike val="0"/>
        <outline val="0"/>
        <shadow val="0"/>
        <u val="none"/>
        <vertAlign val="baseline"/>
        <sz val="11"/>
        <color theme="1"/>
        <name val="Calibri"/>
        <family val="2"/>
        <scheme val="minor"/>
      </font>
      <numFmt numFmtId="167" formatCode="&quot;$&quot;#,##0"/>
      <fill>
        <patternFill patternType="none">
          <fgColor indexed="64"/>
          <bgColor auto="1"/>
        </patternFill>
      </fill>
      <alignment horizontal="left" vertical="center" textRotation="0" indent="1" justifyLastLine="0" shrinkToFit="0" readingOrder="0"/>
    </dxf>
    <dxf>
      <font>
        <b val="0"/>
        <i val="0"/>
        <strike val="0"/>
        <condense val="0"/>
        <extend val="0"/>
        <outline val="0"/>
        <shadow val="0"/>
        <u val="none"/>
        <vertAlign val="baseline"/>
        <sz val="11"/>
        <color theme="1"/>
        <name val="Calibri"/>
        <family val="2"/>
        <scheme val="minor"/>
      </font>
      <alignment horizontal="left" vertical="center" textRotation="0" wrapText="1" indent="1" justifyLastLine="0" shrinkToFit="0" readingOrder="0"/>
    </dxf>
    <dxf>
      <font>
        <b val="0"/>
        <i val="0"/>
        <strike val="0"/>
        <outline val="0"/>
        <shadow val="0"/>
        <u val="none"/>
        <vertAlign val="baseline"/>
        <sz val="11"/>
        <color theme="1"/>
        <name val="Calibri"/>
        <family val="2"/>
        <scheme val="minor"/>
      </font>
      <fill>
        <patternFill patternType="none">
          <fgColor indexed="64"/>
          <bgColor auto="1"/>
        </patternFill>
      </fill>
      <alignment horizontal="left" vertical="center" textRotation="0" indent="1" justifyLastLine="0" shrinkToFit="0" readingOrder="0"/>
    </dxf>
    <dxf>
      <font>
        <b val="0"/>
        <i val="0"/>
        <strike val="0"/>
        <outline val="0"/>
        <shadow val="0"/>
        <u val="none"/>
        <vertAlign val="baseline"/>
        <sz val="11"/>
        <color theme="1"/>
        <name val="Calibri"/>
        <family val="2"/>
        <scheme val="minor"/>
      </font>
    </dxf>
    <dxf>
      <font>
        <b val="0"/>
        <i val="0"/>
        <strike val="0"/>
        <outline val="0"/>
        <shadow val="0"/>
        <u val="none"/>
        <vertAlign val="baseline"/>
        <sz val="11"/>
        <color theme="1"/>
        <name val="Calibri"/>
        <family val="2"/>
        <scheme val="minor"/>
      </font>
    </dxf>
    <dxf>
      <border>
        <bottom style="thick">
          <color theme="0"/>
        </bottom>
      </border>
    </dxf>
    <dxf>
      <font>
        <b val="0"/>
        <i val="0"/>
        <strike val="0"/>
        <outline val="0"/>
        <shadow val="0"/>
        <u val="none"/>
        <vertAlign val="baseline"/>
        <sz val="11"/>
        <color theme="1"/>
        <name val="Calibri"/>
        <family val="2"/>
        <scheme val="minor"/>
      </font>
      <fill>
        <patternFill patternType="solid">
          <fgColor indexed="64"/>
          <bgColor theme="5" tint="0.39994506668294322"/>
        </patternFill>
      </fill>
    </dxf>
    <dxf>
      <font>
        <b/>
        <i val="0"/>
        <strike val="0"/>
        <condense val="0"/>
        <extend val="0"/>
        <outline val="0"/>
        <shadow val="0"/>
        <u val="none"/>
        <vertAlign val="baseline"/>
        <sz val="10"/>
        <color auto="1"/>
        <name val="Calibri"/>
        <family val="2"/>
        <scheme val="minor"/>
      </font>
      <numFmt numFmtId="164" formatCode="&quot;$&quot;#,##0.00"/>
      <fill>
        <patternFill patternType="solid">
          <fgColor indexed="64"/>
          <bgColor theme="0" tint="-0.14999847407452621"/>
        </patternFill>
      </fill>
      <alignment horizontal="left" vertical="center" textRotation="0" wrapText="0" indent="1" justifyLastLine="0" shrinkToFit="0" readingOrder="0"/>
      <border diagonalUp="0" diagonalDown="0" outline="0">
        <left/>
        <right style="thin">
          <color theme="8" tint="-0.499984740745262"/>
        </right>
        <top style="thin">
          <color theme="8" tint="0.39994506668294322"/>
        </top>
        <bottom/>
      </border>
    </dxf>
    <dxf>
      <font>
        <b/>
        <i val="0"/>
        <strike val="0"/>
        <outline val="0"/>
        <shadow val="0"/>
        <u val="none"/>
        <vertAlign val="baseline"/>
        <sz val="10"/>
        <color auto="1"/>
        <name val="Calibri"/>
        <family val="2"/>
        <scheme val="minor"/>
      </font>
      <numFmt numFmtId="164" formatCode="&quot;$&quot;#,##0.00"/>
      <fill>
        <patternFill patternType="solid">
          <fgColor indexed="64"/>
          <bgColor theme="0" tint="-0.14999847407452621"/>
        </patternFill>
      </fill>
      <alignment horizontal="left" vertical="center" textRotation="0" wrapText="0" indent="1" justifyLastLine="0" shrinkToFit="0" readingOrder="0"/>
      <border diagonalUp="0" diagonalDown="0" outline="0">
        <left/>
        <right style="thin">
          <color theme="8" tint="-0.499984740745262"/>
        </right>
        <top style="thin">
          <color theme="8" tint="0.39994506668294322"/>
        </top>
        <bottom style="thin">
          <color theme="8" tint="0.39994506668294322"/>
        </bottom>
      </border>
    </dxf>
    <dxf>
      <font>
        <b/>
        <i val="0"/>
        <strike val="0"/>
        <condense val="0"/>
        <extend val="0"/>
        <outline val="0"/>
        <shadow val="0"/>
        <u val="none"/>
        <vertAlign val="baseline"/>
        <sz val="10"/>
        <color auto="1"/>
        <name val="Calibri"/>
        <family val="2"/>
        <scheme val="minor"/>
      </font>
      <numFmt numFmtId="164" formatCode="&quot;$&quot;#,##0.00"/>
      <fill>
        <patternFill patternType="solid">
          <fgColor indexed="64"/>
          <bgColor theme="0" tint="-0.14999847407452621"/>
        </patternFill>
      </fill>
      <alignment horizontal="left" vertical="center" textRotation="0" wrapText="0" indent="1" justifyLastLine="0" shrinkToFit="0" readingOrder="0"/>
      <border diagonalUp="0" diagonalDown="0" outline="0">
        <left/>
        <right/>
        <top style="thin">
          <color theme="8" tint="0.39994506668294322"/>
        </top>
        <bottom/>
      </border>
    </dxf>
    <dxf>
      <font>
        <b/>
        <i val="0"/>
        <strike val="0"/>
        <outline val="0"/>
        <shadow val="0"/>
        <u val="none"/>
        <vertAlign val="baseline"/>
        <sz val="10"/>
        <color auto="1"/>
        <name val="Calibri"/>
        <family val="2"/>
        <scheme val="minor"/>
      </font>
      <numFmt numFmtId="164" formatCode="&quot;$&quot;#,##0.00"/>
      <fill>
        <patternFill patternType="solid">
          <fgColor indexed="64"/>
          <bgColor theme="0" tint="-0.14999847407452621"/>
        </patternFill>
      </fill>
      <alignment horizontal="left" vertical="center" textRotation="0" wrapText="0" indent="1" justifyLastLine="0" shrinkToFit="0" readingOrder="0"/>
      <border diagonalUp="0" diagonalDown="0" outline="0">
        <left/>
        <right/>
        <top style="thin">
          <color theme="8" tint="0.39994506668294322"/>
        </top>
        <bottom style="thin">
          <color theme="8" tint="0.39994506668294322"/>
        </bottom>
      </border>
    </dxf>
    <dxf>
      <font>
        <b/>
        <i val="0"/>
        <strike val="0"/>
        <condense val="0"/>
        <extend val="0"/>
        <outline val="0"/>
        <shadow val="0"/>
        <u val="none"/>
        <vertAlign val="baseline"/>
        <sz val="10"/>
        <color auto="1"/>
        <name val="Calibri"/>
        <family val="2"/>
        <scheme val="minor"/>
      </font>
      <numFmt numFmtId="164" formatCode="&quot;$&quot;#,##0.00"/>
      <fill>
        <patternFill patternType="solid">
          <fgColor indexed="64"/>
          <bgColor theme="0" tint="-0.14999847407452621"/>
        </patternFill>
      </fill>
      <alignment horizontal="left" vertical="center" textRotation="0" wrapText="0" indent="1" justifyLastLine="0" shrinkToFit="0" readingOrder="0"/>
      <border diagonalUp="0" diagonalDown="0" outline="0">
        <left/>
        <right/>
        <top style="thin">
          <color theme="8" tint="0.39994506668294322"/>
        </top>
        <bottom/>
      </border>
    </dxf>
    <dxf>
      <font>
        <b/>
        <i val="0"/>
        <strike val="0"/>
        <outline val="0"/>
        <shadow val="0"/>
        <u val="none"/>
        <vertAlign val="baseline"/>
        <sz val="10"/>
        <color auto="1"/>
        <name val="Calibri"/>
        <family val="2"/>
        <scheme val="minor"/>
      </font>
      <numFmt numFmtId="164" formatCode="&quot;$&quot;#,##0.00"/>
      <fill>
        <patternFill patternType="solid">
          <fgColor indexed="64"/>
          <bgColor theme="0" tint="-0.14999847407452621"/>
        </patternFill>
      </fill>
      <alignment horizontal="left" vertical="center" textRotation="0" wrapText="0" indent="1" justifyLastLine="0" shrinkToFit="0" readingOrder="0"/>
      <border diagonalUp="0" diagonalDown="0" outline="0">
        <left/>
        <right/>
        <top style="thin">
          <color theme="8" tint="0.39994506668294322"/>
        </top>
        <bottom style="thin">
          <color theme="8" tint="0.39994506668294322"/>
        </bottom>
      </border>
    </dxf>
    <dxf>
      <font>
        <b/>
        <i val="0"/>
        <strike val="0"/>
        <condense val="0"/>
        <extend val="0"/>
        <outline val="0"/>
        <shadow val="0"/>
        <u val="none"/>
        <vertAlign val="baseline"/>
        <sz val="10"/>
        <color auto="1"/>
        <name val="Calibri"/>
        <family val="2"/>
        <scheme val="minor"/>
      </font>
      <numFmt numFmtId="164" formatCode="&quot;$&quot;#,##0.00"/>
      <fill>
        <patternFill patternType="solid">
          <fgColor indexed="64"/>
          <bgColor theme="0" tint="-0.14999847407452621"/>
        </patternFill>
      </fill>
      <alignment horizontal="left" vertical="center" textRotation="0" wrapText="0" indent="1" justifyLastLine="0" shrinkToFit="0" readingOrder="0"/>
      <border diagonalUp="0" diagonalDown="0" outline="0">
        <left style="thin">
          <color theme="8" tint="-0.499984740745262"/>
        </left>
        <right/>
        <top style="thin">
          <color theme="8" tint="0.39994506668294322"/>
        </top>
        <bottom/>
      </border>
    </dxf>
    <dxf>
      <font>
        <b/>
        <i val="0"/>
        <strike val="0"/>
        <outline val="0"/>
        <shadow val="0"/>
        <u val="none"/>
        <vertAlign val="baseline"/>
        <sz val="10"/>
        <color auto="1"/>
        <name val="Calibri"/>
        <family val="2"/>
        <scheme val="minor"/>
      </font>
      <numFmt numFmtId="164" formatCode="&quot;$&quot;#,##0.00"/>
      <fill>
        <patternFill patternType="solid">
          <fgColor indexed="64"/>
          <bgColor theme="0" tint="-0.14999847407452621"/>
        </patternFill>
      </fill>
      <alignment horizontal="left" vertical="center" textRotation="0" wrapText="0" indent="1" justifyLastLine="0" shrinkToFit="0" readingOrder="0"/>
      <border diagonalUp="0" diagonalDown="0" outline="0">
        <left/>
        <right/>
        <top style="thin">
          <color theme="8" tint="0.39994506668294322"/>
        </top>
        <bottom style="thin">
          <color theme="8" tint="0.39994506668294322"/>
        </bottom>
      </border>
    </dxf>
    <dxf>
      <font>
        <b/>
        <i val="0"/>
        <strike val="0"/>
        <condense val="0"/>
        <extend val="0"/>
        <outline val="0"/>
        <shadow val="0"/>
        <u val="none"/>
        <vertAlign val="baseline"/>
        <sz val="10"/>
        <color auto="1"/>
        <name val="Calibri"/>
        <family val="2"/>
        <scheme val="minor"/>
      </font>
      <fill>
        <patternFill patternType="solid">
          <fgColor indexed="64"/>
          <bgColor theme="0" tint="-0.14999847407452621"/>
        </patternFill>
      </fill>
      <alignment horizontal="left" vertical="center" textRotation="0" wrapText="0" indent="1" justifyLastLine="0" shrinkToFit="0" readingOrder="0"/>
    </dxf>
    <dxf>
      <font>
        <b/>
        <i val="0"/>
        <strike val="0"/>
        <condense val="0"/>
        <extend val="0"/>
        <outline val="0"/>
        <shadow val="0"/>
        <u val="none"/>
        <vertAlign val="baseline"/>
        <sz val="10"/>
        <color auto="1"/>
        <name val="Calibri"/>
        <family val="2"/>
        <scheme val="minor"/>
      </font>
      <numFmt numFmtId="168" formatCode="m/d/yy"/>
      <fill>
        <patternFill patternType="solid">
          <fgColor indexed="64"/>
          <bgColor theme="0" tint="-0.14999847407452621"/>
        </patternFill>
      </fill>
      <alignment horizontal="left" vertical="center" textRotation="0" wrapText="0" indent="1" justifyLastLine="0" shrinkToFit="0" readingOrder="0"/>
    </dxf>
    <dxf>
      <font>
        <b/>
        <i val="0"/>
        <strike val="0"/>
        <condense val="0"/>
        <extend val="0"/>
        <outline val="0"/>
        <shadow val="0"/>
        <u val="none"/>
        <vertAlign val="baseline"/>
        <sz val="10"/>
        <color auto="1"/>
        <name val="Calibri"/>
        <family val="2"/>
        <scheme val="minor"/>
      </font>
      <fill>
        <patternFill patternType="solid">
          <fgColor indexed="64"/>
          <bgColor theme="0" tint="-0.14999847407452621"/>
        </patternFill>
      </fill>
      <alignment horizontal="left" vertical="center" textRotation="0" wrapText="0" indent="1" justifyLastLine="0" shrinkToFit="0" readingOrder="0"/>
      <border diagonalUp="0" diagonalDown="0" outline="0">
        <left/>
        <right style="thin">
          <color theme="7" tint="-0.499984740745262"/>
        </right>
        <top style="thin">
          <color theme="7" tint="0.39994506668294322"/>
        </top>
        <bottom/>
      </border>
    </dxf>
    <dxf>
      <font>
        <b/>
        <i val="0"/>
        <strike val="0"/>
        <outline val="0"/>
        <shadow val="0"/>
        <u val="none"/>
        <vertAlign val="baseline"/>
        <sz val="10"/>
        <color auto="1"/>
        <name val="Calibri"/>
        <family val="2"/>
        <scheme val="minor"/>
      </font>
      <fill>
        <patternFill patternType="solid">
          <fgColor indexed="64"/>
          <bgColor theme="0" tint="-0.14999847407452621"/>
        </patternFill>
      </fill>
      <alignment horizontal="left" vertical="center" textRotation="0" indent="1" justifyLastLine="0" shrinkToFit="0" readingOrder="0"/>
      <border diagonalUp="0" diagonalDown="0" outline="0">
        <left/>
        <right/>
        <top style="thin">
          <color theme="7" tint="0.39994506668294322"/>
        </top>
        <bottom style="thin">
          <color theme="7" tint="0.39994506668294322"/>
        </bottom>
      </border>
    </dxf>
    <dxf>
      <font>
        <b/>
        <i val="0"/>
        <strike val="0"/>
        <condense val="0"/>
        <extend val="0"/>
        <outline val="0"/>
        <shadow val="0"/>
        <u val="none"/>
        <vertAlign val="baseline"/>
        <sz val="10"/>
        <color auto="1"/>
        <name val="Calibri"/>
        <family val="2"/>
        <scheme val="minor"/>
      </font>
      <fill>
        <patternFill patternType="solid">
          <fgColor indexed="64"/>
          <bgColor theme="0" tint="-0.14999847407452621"/>
        </patternFill>
      </fill>
      <alignment horizontal="left" vertical="center" textRotation="0" wrapText="0" indent="1" justifyLastLine="0" shrinkToFit="0" readingOrder="0"/>
      <border diagonalUp="0" diagonalDown="0" outline="0">
        <left/>
        <right/>
        <top style="thin">
          <color theme="7" tint="0.39994506668294322"/>
        </top>
        <bottom/>
      </border>
    </dxf>
    <dxf>
      <font>
        <b/>
        <i val="0"/>
        <strike val="0"/>
        <outline val="0"/>
        <shadow val="0"/>
        <u val="none"/>
        <vertAlign val="baseline"/>
        <sz val="10"/>
        <color auto="1"/>
        <name val="Calibri"/>
        <family val="2"/>
        <scheme val="minor"/>
      </font>
      <fill>
        <patternFill patternType="solid">
          <fgColor indexed="64"/>
          <bgColor theme="0" tint="-0.14999847407452621"/>
        </patternFill>
      </fill>
      <alignment horizontal="left" vertical="center" textRotation="0" indent="1" justifyLastLine="0" shrinkToFit="0" readingOrder="0"/>
      <border diagonalUp="0" diagonalDown="0" outline="0">
        <left/>
        <right/>
        <top style="thin">
          <color theme="7" tint="0.39994506668294322"/>
        </top>
        <bottom style="thin">
          <color theme="7" tint="0.39994506668294322"/>
        </bottom>
      </border>
    </dxf>
    <dxf>
      <font>
        <b/>
        <i val="0"/>
        <strike val="0"/>
        <condense val="0"/>
        <extend val="0"/>
        <outline val="0"/>
        <shadow val="0"/>
        <u val="none"/>
        <vertAlign val="baseline"/>
        <sz val="10"/>
        <color auto="1"/>
        <name val="Calibri"/>
        <family val="2"/>
        <scheme val="minor"/>
      </font>
      <numFmt numFmtId="14" formatCode="0.00%"/>
      <fill>
        <patternFill patternType="solid">
          <fgColor indexed="64"/>
          <bgColor theme="0" tint="-0.14999847407452621"/>
        </patternFill>
      </fill>
      <alignment horizontal="left" vertical="center" textRotation="0" wrapText="0" indent="1" justifyLastLine="0" shrinkToFit="0" readingOrder="0"/>
      <border diagonalUp="0" diagonalDown="0" outline="0">
        <left style="thin">
          <color theme="7" tint="-0.499984740745262"/>
        </left>
        <right/>
        <top style="thin">
          <color theme="7" tint="0.39994506668294322"/>
        </top>
        <bottom/>
      </border>
    </dxf>
    <dxf>
      <font>
        <b/>
        <i val="0"/>
        <strike val="0"/>
        <outline val="0"/>
        <shadow val="0"/>
        <u val="none"/>
        <vertAlign val="baseline"/>
        <sz val="10"/>
        <color auto="1"/>
        <name val="Calibri"/>
        <family val="2"/>
        <scheme val="minor"/>
      </font>
      <numFmt numFmtId="19" formatCode="m/d/yyyy"/>
      <fill>
        <patternFill patternType="solid">
          <fgColor indexed="64"/>
          <bgColor theme="0" tint="-0.14999847407452621"/>
        </patternFill>
      </fill>
      <alignment horizontal="left" vertical="center" textRotation="0" indent="1" justifyLastLine="0" shrinkToFit="0" readingOrder="0"/>
      <border diagonalUp="0" diagonalDown="0" outline="0">
        <left style="thin">
          <color theme="7" tint="-0.499984740745262"/>
        </left>
        <right/>
        <top style="thin">
          <color theme="7" tint="0.39994506668294322"/>
        </top>
        <bottom style="thin">
          <color theme="7" tint="0.39994506668294322"/>
        </bottom>
      </border>
    </dxf>
    <dxf>
      <font>
        <b val="0"/>
        <i val="0"/>
        <strike val="0"/>
        <condense val="0"/>
        <extend val="0"/>
        <outline val="0"/>
        <shadow val="0"/>
        <u val="none"/>
        <vertAlign val="baseline"/>
        <sz val="10"/>
        <color auto="1"/>
        <name val="Calibri"/>
        <family val="2"/>
        <scheme val="minor"/>
      </font>
      <numFmt numFmtId="14" formatCode="0.00%"/>
      <fill>
        <patternFill patternType="solid">
          <fgColor indexed="64"/>
          <bgColor theme="0" tint="-0.14999847407452621"/>
        </patternFill>
      </fill>
      <alignment horizontal="left" vertical="center" textRotation="0" wrapText="0" indent="1" justifyLastLine="0" shrinkToFit="0" readingOrder="0"/>
    </dxf>
    <dxf>
      <font>
        <b val="0"/>
        <i val="0"/>
        <strike val="0"/>
        <condense val="0"/>
        <extend val="0"/>
        <outline val="0"/>
        <shadow val="0"/>
        <u val="none"/>
        <vertAlign val="baseline"/>
        <sz val="10"/>
        <color auto="1"/>
        <name val="Calibri"/>
        <family val="2"/>
        <scheme val="minor"/>
      </font>
      <numFmt numFmtId="14" formatCode="0.00%"/>
      <fill>
        <patternFill patternType="solid">
          <fgColor indexed="64"/>
          <bgColor theme="0" tint="-0.14999847407452621"/>
        </patternFill>
      </fill>
      <alignment horizontal="left" vertical="center" textRotation="0" wrapText="0" indent="1" justifyLastLine="0" shrinkToFit="0" readingOrder="0"/>
    </dxf>
    <dxf>
      <font>
        <b val="0"/>
        <i val="0"/>
        <strike val="0"/>
        <condense val="0"/>
        <extend val="0"/>
        <outline val="0"/>
        <shadow val="0"/>
        <u val="none"/>
        <vertAlign val="baseline"/>
        <sz val="10"/>
        <color auto="1"/>
        <name val="Calibri"/>
        <family val="2"/>
        <scheme val="minor"/>
      </font>
      <numFmt numFmtId="14" formatCode="0.00%"/>
      <fill>
        <patternFill patternType="solid">
          <fgColor indexed="64"/>
          <bgColor theme="0" tint="-0.14999847407452621"/>
        </patternFill>
      </fill>
      <alignment horizontal="left" vertical="center" textRotation="0" wrapText="0" indent="1" justifyLastLine="0" shrinkToFit="0" readingOrder="0"/>
      <border diagonalUp="0" diagonalDown="0" outline="0">
        <left/>
        <right style="thin">
          <color theme="6" tint="-0.499984740745262"/>
        </right>
        <top style="thin">
          <color theme="6" tint="0.39994506668294322"/>
        </top>
        <bottom/>
      </border>
    </dxf>
    <dxf>
      <font>
        <b val="0"/>
        <i val="0"/>
        <strike val="0"/>
        <outline val="0"/>
        <shadow val="0"/>
        <u val="none"/>
        <vertAlign val="baseline"/>
        <sz val="10"/>
        <color auto="1"/>
        <name val="Calibri"/>
        <family val="2"/>
        <scheme val="minor"/>
      </font>
      <fill>
        <patternFill patternType="solid">
          <fgColor indexed="64"/>
          <bgColor theme="0" tint="-0.14999847407452621"/>
        </patternFill>
      </fill>
      <alignment horizontal="left" vertical="center" textRotation="0" indent="1" justifyLastLine="0" shrinkToFit="0" readingOrder="0"/>
      <border diagonalUp="0" diagonalDown="0" outline="0">
        <left/>
        <right style="thin">
          <color theme="6" tint="-0.499984740745262"/>
        </right>
        <top style="thin">
          <color theme="6" tint="0.39994506668294322"/>
        </top>
        <bottom style="thin">
          <color theme="6" tint="0.39994506668294322"/>
        </bottom>
      </border>
    </dxf>
    <dxf>
      <font>
        <b val="0"/>
        <i val="0"/>
        <strike val="0"/>
        <condense val="0"/>
        <extend val="0"/>
        <outline val="0"/>
        <shadow val="0"/>
        <u val="none"/>
        <vertAlign val="baseline"/>
        <sz val="10"/>
        <color auto="1"/>
        <name val="Calibri"/>
        <family val="2"/>
        <scheme val="minor"/>
      </font>
      <numFmt numFmtId="164" formatCode="&quot;$&quot;#,##0.00"/>
      <fill>
        <patternFill patternType="solid">
          <fgColor indexed="64"/>
          <bgColor theme="0" tint="-0.14999847407452621"/>
        </patternFill>
      </fill>
      <alignment horizontal="left" vertical="center" textRotation="0" wrapText="0" indent="1" justifyLastLine="0" shrinkToFit="0" readingOrder="0"/>
      <border diagonalUp="0" diagonalDown="0" outline="0">
        <left/>
        <right/>
        <top style="thin">
          <color theme="6" tint="0.39994506668294322"/>
        </top>
        <bottom/>
      </border>
    </dxf>
    <dxf>
      <font>
        <b val="0"/>
        <i val="0"/>
        <strike val="0"/>
        <outline val="0"/>
        <shadow val="0"/>
        <u val="none"/>
        <vertAlign val="baseline"/>
        <sz val="10"/>
        <color auto="1"/>
        <name val="Calibri"/>
        <family val="2"/>
        <scheme val="minor"/>
      </font>
      <numFmt numFmtId="164" formatCode="&quot;$&quot;#,##0.00"/>
      <fill>
        <patternFill patternType="solid">
          <fgColor indexed="64"/>
          <bgColor theme="0" tint="-0.14999847407452621"/>
        </patternFill>
      </fill>
      <alignment horizontal="left" vertical="center" textRotation="0" wrapText="0" indent="1" justifyLastLine="0" shrinkToFit="0" readingOrder="0"/>
      <border diagonalUp="0" diagonalDown="0" outline="0">
        <left/>
        <right/>
        <top style="thin">
          <color theme="6" tint="0.39994506668294322"/>
        </top>
        <bottom style="thin">
          <color theme="6" tint="0.39994506668294322"/>
        </bottom>
      </border>
    </dxf>
    <dxf>
      <font>
        <b val="0"/>
        <i val="0"/>
        <strike val="0"/>
        <condense val="0"/>
        <extend val="0"/>
        <outline val="0"/>
        <shadow val="0"/>
        <u val="none"/>
        <vertAlign val="baseline"/>
        <sz val="10"/>
        <color auto="1"/>
        <name val="Calibri"/>
        <family val="2"/>
        <scheme val="minor"/>
      </font>
      <fill>
        <patternFill patternType="solid">
          <fgColor indexed="64"/>
          <bgColor theme="0" tint="-0.14999847407452621"/>
        </patternFill>
      </fill>
      <alignment horizontal="left" vertical="center" textRotation="0" wrapText="0" indent="1" justifyLastLine="0" shrinkToFit="0" readingOrder="0"/>
      <border diagonalUp="0" diagonalDown="0" outline="0">
        <left/>
        <right/>
        <top style="thin">
          <color theme="6" tint="0.39994506668294322"/>
        </top>
        <bottom/>
      </border>
    </dxf>
    <dxf>
      <font>
        <b val="0"/>
        <i val="0"/>
        <strike val="0"/>
        <outline val="0"/>
        <shadow val="0"/>
        <u val="none"/>
        <vertAlign val="baseline"/>
        <sz val="10"/>
        <color auto="1"/>
        <name val="Calibri"/>
        <family val="2"/>
        <scheme val="minor"/>
      </font>
      <fill>
        <patternFill patternType="solid">
          <fgColor indexed="64"/>
          <bgColor theme="0" tint="-0.14999847407452621"/>
        </patternFill>
      </fill>
      <alignment horizontal="left" vertical="center" textRotation="0" indent="1" justifyLastLine="0" shrinkToFit="0" readingOrder="0"/>
      <border diagonalUp="0" diagonalDown="0" outline="0">
        <left/>
        <right/>
        <top style="thin">
          <color theme="6" tint="0.39994506668294322"/>
        </top>
        <bottom style="thin">
          <color theme="6" tint="0.39994506668294322"/>
        </bottom>
      </border>
    </dxf>
    <dxf>
      <font>
        <b val="0"/>
        <i val="0"/>
        <strike val="0"/>
        <condense val="0"/>
        <extend val="0"/>
        <outline val="0"/>
        <shadow val="0"/>
        <u val="none"/>
        <vertAlign val="baseline"/>
        <sz val="10"/>
        <color auto="1"/>
        <name val="Calibri"/>
        <family val="2"/>
        <scheme val="minor"/>
      </font>
      <fill>
        <patternFill patternType="solid">
          <fgColor indexed="64"/>
          <bgColor theme="0" tint="-0.14999847407452621"/>
        </patternFill>
      </fill>
      <alignment horizontal="left" vertical="center" textRotation="0" wrapText="0" indent="1" justifyLastLine="0" shrinkToFit="0" readingOrder="0"/>
      <border diagonalUp="0" diagonalDown="0" outline="0">
        <left style="thin">
          <color theme="6" tint="-0.499984740745262"/>
        </left>
        <right/>
        <top style="thin">
          <color theme="6" tint="0.39994506668294322"/>
        </top>
        <bottom/>
      </border>
    </dxf>
    <dxf>
      <font>
        <b val="0"/>
        <i val="0"/>
        <strike val="0"/>
        <outline val="0"/>
        <shadow val="0"/>
        <u val="none"/>
        <vertAlign val="baseline"/>
        <sz val="10"/>
        <color auto="1"/>
        <name val="Calibri"/>
        <family val="2"/>
        <scheme val="minor"/>
      </font>
      <fill>
        <patternFill patternType="solid">
          <fgColor indexed="64"/>
          <bgColor theme="0" tint="-0.14999847407452621"/>
        </patternFill>
      </fill>
      <alignment horizontal="left" vertical="center" textRotation="0" indent="1" justifyLastLine="0" shrinkToFit="0" readingOrder="0"/>
      <border diagonalUp="0" diagonalDown="0" outline="0">
        <left style="thin">
          <color theme="6" tint="-0.499984740745262"/>
        </left>
        <right/>
        <top style="thin">
          <color theme="6" tint="0.39994506668294322"/>
        </top>
        <bottom style="thin">
          <color theme="6" tint="0.39994506668294322"/>
        </bottom>
      </border>
    </dxf>
    <dxf>
      <font>
        <b val="0"/>
        <i val="0"/>
        <strike val="0"/>
        <outline val="0"/>
        <shadow val="0"/>
        <u val="none"/>
        <vertAlign val="baseline"/>
        <sz val="10"/>
        <color auto="1"/>
        <name val="Calibri"/>
        <family val="2"/>
        <scheme val="minor"/>
      </font>
      <fill>
        <patternFill patternType="solid">
          <fgColor indexed="64"/>
          <bgColor theme="0" tint="-0.14999847407452621"/>
        </patternFill>
      </fill>
      <alignment horizontal="left" vertical="center" textRotation="0" wrapText="0" indent="1" justifyLastLine="0" shrinkToFit="0" readingOrder="0"/>
    </dxf>
    <dxf>
      <font>
        <b val="0"/>
        <i val="0"/>
        <strike val="0"/>
        <outline val="0"/>
        <shadow val="0"/>
        <u val="none"/>
        <vertAlign val="baseline"/>
        <sz val="10"/>
        <color auto="1"/>
        <name val="Calibri"/>
        <family val="2"/>
        <scheme val="minor"/>
      </font>
      <fill>
        <patternFill patternType="solid">
          <fgColor indexed="64"/>
          <bgColor theme="0" tint="-0.14999847407452621"/>
        </patternFill>
      </fill>
      <alignment horizontal="left" textRotation="0" indent="1" justifyLastLine="0" shrinkToFit="0" readingOrder="0"/>
    </dxf>
    <dxf>
      <font>
        <b val="0"/>
        <i val="0"/>
        <strike val="0"/>
        <outline val="0"/>
        <shadow val="0"/>
        <u val="none"/>
        <vertAlign val="baseline"/>
        <sz val="10"/>
        <color auto="1"/>
        <name val="Calibri"/>
        <family val="2"/>
        <scheme val="minor"/>
      </font>
      <fill>
        <patternFill patternType="solid">
          <fgColor indexed="64"/>
          <bgColor theme="0" tint="-0.14999847407452621"/>
        </patternFill>
      </fill>
      <alignment horizontal="left" vertical="center" textRotation="0" indent="1" justifyLastLine="0" shrinkToFit="0" readingOrder="0"/>
    </dxf>
    <dxf>
      <numFmt numFmtId="0" formatCode="General"/>
      <alignment horizontal="left" vertical="center" textRotation="0" wrapText="0" indent="1" justifyLastLine="0" shrinkToFit="0" readingOrder="0"/>
    </dxf>
    <dxf>
      <font>
        <strike val="0"/>
        <outline val="0"/>
        <shadow val="0"/>
        <u val="none"/>
        <vertAlign val="baseline"/>
        <sz val="11"/>
        <color auto="1"/>
        <name val="Calibri"/>
        <family val="2"/>
        <scheme val="minor"/>
      </font>
      <fill>
        <patternFill patternType="none">
          <fgColor indexed="64"/>
          <bgColor auto="1"/>
        </patternFill>
      </fill>
      <alignment horizontal="left" vertical="center" textRotation="0" indent="1" justifyLastLine="0" shrinkToFit="0" readingOrder="0"/>
    </dxf>
    <dxf>
      <alignment horizontal="left" vertical="center" textRotation="0" wrapText="0" indent="1" justifyLastLine="0" shrinkToFit="0" readingOrder="0"/>
    </dxf>
    <dxf>
      <font>
        <strike val="0"/>
        <outline val="0"/>
        <shadow val="0"/>
        <u val="none"/>
        <vertAlign val="baseline"/>
        <sz val="11"/>
        <color auto="1"/>
        <name val="Calibri"/>
        <family val="2"/>
        <scheme val="minor"/>
      </font>
      <fill>
        <patternFill patternType="none">
          <fgColor indexed="64"/>
          <bgColor auto="1"/>
        </patternFill>
      </fill>
      <alignment horizontal="left" vertical="center" textRotation="0" indent="1" justifyLastLine="0" shrinkToFit="0" readingOrder="0"/>
    </dxf>
    <dxf>
      <alignment horizontal="left" vertical="center" textRotation="0" wrapText="0" indent="1" justifyLastLine="0" shrinkToFit="0" readingOrder="0"/>
    </dxf>
    <dxf>
      <font>
        <strike val="0"/>
        <outline val="0"/>
        <shadow val="0"/>
        <u val="none"/>
        <vertAlign val="baseline"/>
        <sz val="11"/>
        <color auto="1"/>
        <name val="Calibri"/>
        <family val="2"/>
        <scheme val="minor"/>
      </font>
      <fill>
        <patternFill patternType="none">
          <fgColor indexed="64"/>
          <bgColor auto="1"/>
        </patternFill>
      </fill>
      <alignment horizontal="left" vertical="center" textRotation="0" indent="1" justifyLastLine="0" shrinkToFit="0" readingOrder="0"/>
    </dxf>
    <dxf>
      <alignment horizontal="left" vertical="center" textRotation="0" wrapText="0" indent="1" justifyLastLine="0" shrinkToFit="0" readingOrder="0"/>
    </dxf>
    <dxf>
      <font>
        <strike val="0"/>
        <outline val="0"/>
        <shadow val="0"/>
        <u val="none"/>
        <vertAlign val="baseline"/>
        <sz val="11"/>
        <color auto="1"/>
        <name val="Calibri"/>
        <family val="2"/>
        <scheme val="minor"/>
      </font>
      <fill>
        <patternFill patternType="none">
          <fgColor indexed="64"/>
          <bgColor auto="1"/>
        </patternFill>
      </fill>
      <alignment horizontal="left" vertical="center" textRotation="0" indent="1" justifyLastLine="0" shrinkToFit="0" readingOrder="0"/>
    </dxf>
    <dxf>
      <alignment horizontal="left" vertical="center" textRotation="0" wrapText="0" indent="1" justifyLastLine="0" shrinkToFit="0" readingOrder="0"/>
    </dxf>
    <dxf>
      <font>
        <strike val="0"/>
        <outline val="0"/>
        <shadow val="0"/>
        <u val="none"/>
        <vertAlign val="baseline"/>
        <sz val="11"/>
        <color auto="1"/>
        <name val="Calibri"/>
        <family val="2"/>
        <scheme val="minor"/>
      </font>
      <fill>
        <patternFill patternType="none">
          <fgColor indexed="64"/>
          <bgColor auto="1"/>
        </patternFill>
      </fill>
      <alignment horizontal="left" vertical="center" textRotation="0" indent="1" justifyLastLine="0" shrinkToFit="0" readingOrder="0"/>
    </dxf>
    <dxf>
      <alignment horizontal="left" vertical="center" textRotation="0" wrapText="0" indent="1" justifyLastLine="0" shrinkToFit="0" readingOrder="0"/>
    </dxf>
    <dxf>
      <font>
        <strike val="0"/>
        <outline val="0"/>
        <shadow val="0"/>
        <u val="none"/>
        <vertAlign val="baseline"/>
        <sz val="11"/>
        <color auto="1"/>
        <name val="Calibri"/>
        <family val="2"/>
        <scheme val="minor"/>
      </font>
      <fill>
        <patternFill patternType="none">
          <fgColor indexed="64"/>
          <bgColor auto="1"/>
        </patternFill>
      </fill>
      <alignment horizontal="left" vertical="center" textRotation="0" indent="1" justifyLastLine="0" shrinkToFit="0" readingOrder="0"/>
    </dxf>
    <dxf>
      <alignment horizontal="left" vertical="center" textRotation="0" wrapText="0" indent="1" justifyLastLine="0" shrinkToFit="0" readingOrder="0"/>
    </dxf>
    <dxf>
      <font>
        <strike val="0"/>
        <outline val="0"/>
        <shadow val="0"/>
        <u val="none"/>
        <vertAlign val="baseline"/>
        <sz val="11"/>
        <color auto="1"/>
        <name val="Calibri"/>
        <family val="2"/>
        <scheme val="minor"/>
      </font>
      <fill>
        <patternFill patternType="none">
          <fgColor indexed="64"/>
          <bgColor auto="1"/>
        </patternFill>
      </fill>
      <alignment horizontal="left" vertical="center" textRotation="0" indent="1" justifyLastLine="0" shrinkToFit="0" readingOrder="0"/>
    </dxf>
    <dxf>
      <font>
        <strike val="0"/>
        <outline val="0"/>
        <shadow val="0"/>
        <u val="none"/>
        <vertAlign val="baseline"/>
        <sz val="11"/>
        <color auto="1"/>
        <name val="Calibri"/>
        <family val="2"/>
        <scheme val="minor"/>
      </font>
      <numFmt numFmtId="0" formatCode="General"/>
      <fill>
        <patternFill patternType="none">
          <fgColor indexed="64"/>
          <bgColor auto="1"/>
        </patternFill>
      </fill>
    </dxf>
    <dxf>
      <font>
        <b val="0"/>
        <i val="0"/>
        <strike val="0"/>
        <condense val="0"/>
        <extend val="0"/>
        <outline val="0"/>
        <shadow val="0"/>
        <u val="none"/>
        <vertAlign val="baseline"/>
        <sz val="11"/>
        <color auto="1"/>
        <name val="Calibri"/>
        <family val="2"/>
        <scheme val="minor"/>
      </font>
      <numFmt numFmtId="0" formatCode="General"/>
      <fill>
        <patternFill patternType="none">
          <fgColor indexed="64"/>
          <bgColor auto="1"/>
        </patternFill>
      </fill>
      <alignment horizontal="left" vertical="center" textRotation="0" wrapText="0" indent="1" justifyLastLine="0" shrinkToFit="0" readingOrder="0"/>
    </dxf>
    <dxf>
      <border>
        <bottom style="thin">
          <color indexed="64"/>
        </bottom>
      </border>
    </dxf>
    <dxf>
      <font>
        <b/>
        <i val="0"/>
        <strike val="0"/>
        <outline val="0"/>
        <shadow val="0"/>
        <u val="none"/>
        <vertAlign val="baseline"/>
        <sz val="11"/>
        <color auto="1"/>
        <name val="Calibri"/>
        <family val="2"/>
        <scheme val="minor"/>
      </font>
      <numFmt numFmtId="0" formatCode="General"/>
      <fill>
        <patternFill patternType="solid">
          <fgColor indexed="64"/>
          <bgColor theme="4" tint="0.59999389629810485"/>
        </patternFill>
      </fill>
      <alignment horizontal="left" vertical="center" textRotation="0" wrapText="1" indent="1" justifyLastLine="0" shrinkToFit="0" readingOrder="0"/>
      <border diagonalUp="0" diagonalDown="0" outline="0">
        <left style="thin">
          <color indexed="64"/>
        </left>
        <right style="thin">
          <color indexed="64"/>
        </right>
        <top/>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sz val="10"/>
        <color auto="1"/>
        <name val="Calibri"/>
        <family val="2"/>
        <scheme val="minor"/>
      </font>
      <numFmt numFmtId="164" formatCode="&quot;$&quot;#,##0.00"/>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sz val="10"/>
        <color auto="1"/>
        <name val="Calibri"/>
        <family val="2"/>
        <scheme val="minor"/>
      </font>
      <numFmt numFmtId="164" formatCode="&quot;$&quot;#,##0.00"/>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numFmt numFmtId="164" formatCode="&quot;$&quot;#,##0.00"/>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numFmt numFmtId="164" formatCode="&quot;$&quot;#,##0.00"/>
    </dxf>
    <dxf>
      <font>
        <strike val="0"/>
        <outline val="0"/>
        <shadow val="0"/>
        <u val="none"/>
        <vertAlign val="baseline"/>
        <name val="Calibri"/>
        <family val="2"/>
        <scheme val="minor"/>
      </font>
      <fill>
        <patternFill patternType="solid">
          <fgColor indexed="64"/>
          <bgColor theme="7" tint="0.39997558519241921"/>
        </patternFill>
      </fill>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dxf>
    <dxf>
      <font>
        <strike val="0"/>
        <outline val="0"/>
        <shadow val="0"/>
        <u val="none"/>
        <vertAlign val="baseline"/>
        <name val="Calibri"/>
        <family val="2"/>
        <scheme val="minor"/>
      </font>
    </dxf>
    <dxf>
      <font>
        <strike val="0"/>
        <outline val="0"/>
        <shadow val="0"/>
        <u val="none"/>
        <vertAlign val="baseline"/>
        <name val="Calibri"/>
        <family val="2"/>
        <scheme val="minor"/>
      </font>
      <border diagonalUp="0" diagonalDown="0" outline="0">
        <left style="thin">
          <color indexed="64"/>
        </left>
        <right style="thin">
          <color indexed="64"/>
        </right>
        <top/>
        <bottom/>
      </border>
    </dxf>
    <dxf>
      <font>
        <color rgb="FFC00000"/>
      </font>
    </dxf>
    <dxf>
      <font>
        <color rgb="FFC00000"/>
      </font>
    </dxf>
    <dxf>
      <fill>
        <patternFill>
          <bgColor theme="0" tint="-4.9989318521683403E-2"/>
        </patternFill>
      </fill>
    </dxf>
    <dxf>
      <font>
        <b/>
        <i val="0"/>
        <color theme="1"/>
      </font>
      <fill>
        <patternFill>
          <bgColor theme="4" tint="0.79998168889431442"/>
        </patternFill>
      </fill>
      <border>
        <top/>
        <bottom style="thick">
          <color theme="4"/>
        </bottom>
        <vertical style="thin">
          <color theme="4" tint="0.59996337778862885"/>
        </vertical>
      </border>
    </dxf>
    <dxf>
      <font>
        <b/>
        <i val="0"/>
        <color theme="1"/>
      </font>
      <fill>
        <patternFill>
          <bgColor theme="4" tint="0.79998168889431442"/>
        </patternFill>
      </fill>
      <border diagonalUp="0" diagonalDown="0">
        <left/>
        <right/>
        <top style="thick">
          <color theme="0"/>
        </top>
        <bottom style="thick">
          <color theme="0"/>
        </bottom>
        <vertical style="thin">
          <color theme="4" tint="0.59996337778862885"/>
        </vertical>
        <horizontal/>
      </border>
    </dxf>
    <dxf>
      <border>
        <left/>
        <bottom style="medium">
          <color theme="4"/>
        </bottom>
        <vertical style="thin">
          <color theme="4" tint="0.79998168889431442"/>
        </vertical>
      </border>
    </dxf>
    <dxf>
      <fill>
        <patternFill patternType="solid">
          <fgColor theme="4" tint="0.79998168889431442"/>
          <bgColor theme="4" tint="0.79998168889431442"/>
        </patternFill>
      </fill>
    </dxf>
    <dxf>
      <fill>
        <patternFill patternType="solid">
          <fgColor theme="4" tint="0.79998168889431442"/>
          <bgColor theme="4" tint="0.79998168889431442"/>
        </patternFill>
      </fill>
    </dxf>
    <dxf>
      <font>
        <b/>
        <color theme="1"/>
      </font>
    </dxf>
    <dxf>
      <font>
        <b val="0"/>
        <i val="0"/>
        <color theme="1"/>
      </font>
    </dxf>
    <dxf>
      <font>
        <b/>
        <color theme="1"/>
      </font>
      <border>
        <top style="double">
          <color theme="4"/>
        </top>
      </border>
    </dxf>
    <dxf>
      <font>
        <b/>
        <color theme="0"/>
      </font>
      <fill>
        <patternFill patternType="solid">
          <fgColor theme="4" tint="-0.499984740745262"/>
          <bgColor theme="4" tint="-0.499984740745262"/>
        </patternFill>
      </fill>
    </dxf>
    <dxf>
      <font>
        <color theme="1"/>
      </font>
      <border>
        <left style="thin">
          <color theme="4" tint="0.39997558519241921"/>
        </left>
        <right style="thin">
          <color theme="4" tint="0.39997558519241921"/>
        </right>
        <top style="thin">
          <color theme="4" tint="0.39997558519241921"/>
        </top>
        <bottom style="thin">
          <color theme="4" tint="0.39997558519241921"/>
        </bottom>
        <horizontal style="thin">
          <color theme="4" tint="0.39997558519241921"/>
        </horizontal>
      </border>
    </dxf>
    <dxf>
      <fill>
        <patternFill patternType="none">
          <bgColor auto="1"/>
        </patternFill>
      </fill>
    </dxf>
    <dxf>
      <font>
        <b/>
        <i val="0"/>
        <color auto="1"/>
      </font>
      <fill>
        <patternFill>
          <bgColor theme="4" tint="0.79998168889431442"/>
        </patternFill>
      </fill>
      <border>
        <left style="thin">
          <color theme="4" tint="0.39994506668294322"/>
        </left>
        <right style="thin">
          <color theme="4" tint="0.39994506668294322"/>
        </right>
        <top style="thin">
          <color theme="4" tint="0.39994506668294322"/>
        </top>
        <bottom style="thin">
          <color theme="4" tint="0.39994506668294322"/>
        </bottom>
        <vertical style="thin">
          <color theme="4" tint="0.39994506668294322"/>
        </vertical>
        <horizontal style="thin">
          <color theme="4" tint="0.39994506668294322"/>
        </horizontal>
      </border>
    </dxf>
    <dxf>
      <border>
        <top style="medium">
          <color theme="4"/>
        </top>
      </border>
    </dxf>
    <dxf>
      <border diagonalUp="0" diagonalDown="0">
        <left style="thin">
          <color theme="4" tint="0.59996337778862885"/>
        </left>
        <right style="thin">
          <color theme="4" tint="0.59996337778862885"/>
        </right>
        <top style="thin">
          <color theme="4" tint="0.59996337778862885"/>
        </top>
        <bottom style="thin">
          <color theme="4" tint="0.59996337778862885"/>
        </bottom>
        <vertical style="thin">
          <color theme="4" tint="0.59996337778862885"/>
        </vertical>
        <horizontal style="thin">
          <color theme="4" tint="0.59996337778862885"/>
        </horizontal>
      </border>
    </dxf>
    <dxf>
      <fill>
        <patternFill patternType="solid">
          <fgColor theme="6" tint="0.79998168889431442"/>
          <bgColor theme="6" tint="0.79998168889431442"/>
        </patternFill>
      </fill>
    </dxf>
    <dxf>
      <fill>
        <patternFill patternType="solid">
          <fgColor theme="6" tint="0.79998168889431442"/>
          <bgColor theme="6" tint="0.79998168889431442"/>
        </patternFill>
      </fill>
    </dxf>
    <dxf>
      <font>
        <b/>
        <color theme="6" tint="-0.249977111117893"/>
      </font>
    </dxf>
    <dxf>
      <font>
        <b/>
        <color theme="6" tint="-0.249977111117893"/>
      </font>
    </dxf>
    <dxf>
      <font>
        <b/>
        <i val="0"/>
        <color theme="6" tint="-0.499984740745262"/>
      </font>
      <fill>
        <patternFill>
          <bgColor theme="3" tint="0.79998168889431442"/>
        </patternFill>
      </fill>
      <border diagonalUp="0" diagonalDown="0">
        <left/>
        <right/>
        <top/>
        <bottom/>
        <vertical/>
        <horizontal/>
      </border>
    </dxf>
    <dxf>
      <font>
        <b/>
        <i val="0"/>
        <color theme="3"/>
      </font>
      <fill>
        <patternFill>
          <bgColor theme="4" tint="0.79998168889431442"/>
        </patternFill>
      </fill>
      <border diagonalUp="0" diagonalDown="0">
        <left/>
        <right/>
        <top/>
        <bottom/>
        <vertical/>
        <horizontal/>
      </border>
    </dxf>
    <dxf>
      <border diagonalUp="0" diagonalDown="0">
        <left/>
        <right/>
        <top/>
        <bottom/>
        <vertical/>
        <horizontal/>
      </border>
    </dxf>
    <dxf>
      <font>
        <b/>
        <i val="0"/>
        <color theme="6" tint="-0.499984740745262"/>
      </font>
      <fill>
        <patternFill>
          <bgColor theme="3" tint="0.79998168889431442"/>
        </patternFill>
      </fill>
      <border diagonalUp="0" diagonalDown="0">
        <left/>
        <right/>
        <top/>
        <bottom/>
        <vertical/>
        <horizontal/>
      </border>
    </dxf>
    <dxf>
      <font>
        <b/>
        <i val="0"/>
        <color theme="3"/>
      </font>
      <fill>
        <patternFill>
          <bgColor theme="4" tint="0.79998168889431442"/>
        </patternFill>
      </fill>
      <border diagonalUp="0" diagonalDown="0">
        <left/>
        <right/>
        <top/>
        <bottom/>
        <vertical/>
        <horizontal/>
      </border>
    </dxf>
    <dxf>
      <border diagonalUp="0" diagonalDown="0">
        <left/>
        <right/>
        <top/>
        <bottom/>
        <vertical/>
        <horizontal/>
      </border>
    </dxf>
  </dxfs>
  <tableStyles count="6" defaultTableStyle="TableStyleLight9" defaultPivotStyle="PivotStyleLight16">
    <tableStyle name="College Loan Calculator" pivot="0" count="3" xr9:uid="{00000000-0011-0000-FFFF-FFFF00000000}">
      <tableStyleElement type="wholeTable" dxfId="272"/>
      <tableStyleElement type="headerRow" dxfId="271"/>
      <tableStyleElement type="totalRow" dxfId="270"/>
    </tableStyle>
    <tableStyle name="College Loan Calculator 2" pivot="0" count="3" xr9:uid="{00000000-0011-0000-FFFF-FFFF00000000}">
      <tableStyleElement type="wholeTable" dxfId="269"/>
      <tableStyleElement type="headerRow" dxfId="268"/>
      <tableStyleElement type="totalRow" dxfId="267"/>
    </tableStyle>
    <tableStyle name="Income" pivot="0" count="4" xr9:uid="{73217824-A494-4035-A8A9-D551D387FE77}">
      <tableStyleElement type="firstColumn" dxfId="266"/>
      <tableStyleElement type="lastColumn" dxfId="265"/>
      <tableStyleElement type="firstRowStripe" dxfId="264"/>
      <tableStyleElement type="firstColumnStripe" dxfId="263"/>
    </tableStyle>
    <tableStyle name="Light Table" pivot="0" count="4" xr9:uid="{66BF9543-75A8-AF48-B16D-EB5183BD6F32}">
      <tableStyleElement type="wholeTable" dxfId="262"/>
      <tableStyleElement type="headerRow" dxfId="261"/>
      <tableStyleElement type="lastColumn" dxfId="260"/>
      <tableStyleElement type="lastHeaderCell" dxfId="259"/>
    </tableStyle>
    <tableStyle name="Personal monthly budget" pivot="0" count="7" xr9:uid="{DF2684C2-C435-47FA-9646-E632C3AE8948}">
      <tableStyleElement type="wholeTable" dxfId="258"/>
      <tableStyleElement type="headerRow" dxfId="257"/>
      <tableStyleElement type="totalRow" dxfId="256"/>
      <tableStyleElement type="firstColumn" dxfId="255"/>
      <tableStyleElement type="lastColumn" dxfId="254"/>
      <tableStyleElement type="firstRowStripe" dxfId="253"/>
      <tableStyleElement type="firstColumnStripe" dxfId="252"/>
    </tableStyle>
    <tableStyle name="Simple Monthly Budget 2" pivot="0" count="4" xr9:uid="{07D6F1CB-291C-4348-A9AA-C12AE219BD54}">
      <tableStyleElement type="wholeTable" dxfId="251"/>
      <tableStyleElement type="headerRow" dxfId="250"/>
      <tableStyleElement type="totalRow" dxfId="249"/>
      <tableStyleElement type="firstRowStripe" dxfId="248"/>
    </tableStyle>
  </tableStyles>
  <colors>
    <mruColors>
      <color rgb="FF006600"/>
      <color rgb="FF02DA4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cap="all" baseline="0">
                <a:solidFill>
                  <a:schemeClr val="tx1">
                    <a:lumMod val="65000"/>
                    <a:lumOff val="35000"/>
                  </a:schemeClr>
                </a:solidFill>
                <a:latin typeface="+mn-lt"/>
                <a:ea typeface="+mn-ea"/>
                <a:cs typeface="+mn-cs"/>
              </a:defRPr>
            </a:pPr>
            <a:r>
              <a:rPr lang="en-US" sz="1400"/>
              <a:t>Actual Expenses Wheel</a:t>
            </a:r>
          </a:p>
        </c:rich>
      </c:tx>
      <c:overlay val="0"/>
      <c:spPr>
        <a:noFill/>
        <a:ln>
          <a:noFill/>
        </a:ln>
        <a:effectLst/>
      </c:spPr>
      <c:txPr>
        <a:bodyPr rot="0" spcFirstLastPara="1" vertOverflow="ellipsis" vert="horz" wrap="square" anchor="ctr" anchorCtr="1"/>
        <a:lstStyle/>
        <a:p>
          <a:pPr>
            <a:defRPr sz="1400" b="1" i="0" u="none" strike="noStrike" kern="1200" cap="all" baseline="0">
              <a:solidFill>
                <a:schemeClr val="tx1">
                  <a:lumMod val="65000"/>
                  <a:lumOff val="35000"/>
                </a:schemeClr>
              </a:solidFill>
              <a:latin typeface="+mn-lt"/>
              <a:ea typeface="+mn-ea"/>
              <a:cs typeface="+mn-cs"/>
            </a:defRPr>
          </a:pPr>
          <a:endParaRPr lang="en-US"/>
        </a:p>
      </c:txPr>
    </c:title>
    <c:autoTitleDeleted val="0"/>
    <c:plotArea>
      <c:layout/>
      <c:pieChart>
        <c:varyColors val="1"/>
        <c:ser>
          <c:idx val="0"/>
          <c:order val="0"/>
          <c:tx>
            <c:strRef>
              <c:f>'My Dashboard'!$D$41</c:f>
              <c:strCache>
                <c:ptCount val="1"/>
                <c:pt idx="0">
                  <c:v>Actual</c:v>
                </c:pt>
              </c:strCache>
            </c:strRef>
          </c:tx>
          <c:dPt>
            <c:idx val="0"/>
            <c:bubble3D val="0"/>
            <c:spPr>
              <a:solidFill>
                <a:schemeClr val="accent1"/>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5-A3FB-431A-AE09-427C9DE74083}"/>
              </c:ext>
            </c:extLst>
          </c:dPt>
          <c:dPt>
            <c:idx val="1"/>
            <c:bubble3D val="0"/>
            <c:spPr>
              <a:solidFill>
                <a:schemeClr val="accent2"/>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7-A3FB-431A-AE09-427C9DE74083}"/>
              </c:ext>
            </c:extLst>
          </c:dPt>
          <c:dPt>
            <c:idx val="2"/>
            <c:bubble3D val="0"/>
            <c:spPr>
              <a:solidFill>
                <a:schemeClr val="accent3"/>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8-A3FB-431A-AE09-427C9DE74083}"/>
              </c:ext>
            </c:extLst>
          </c:dPt>
          <c:dPt>
            <c:idx val="3"/>
            <c:bubble3D val="0"/>
            <c:spPr>
              <a:solidFill>
                <a:schemeClr val="accent4"/>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1-A3FB-431A-AE09-427C9DE74083}"/>
              </c:ext>
            </c:extLst>
          </c:dPt>
          <c:dPt>
            <c:idx val="4"/>
            <c:bubble3D val="0"/>
            <c:spPr>
              <a:solidFill>
                <a:schemeClr val="accent5"/>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2-A3FB-431A-AE09-427C9DE74083}"/>
              </c:ext>
            </c:extLst>
          </c:dPt>
          <c:dPt>
            <c:idx val="5"/>
            <c:bubble3D val="0"/>
            <c:spPr>
              <a:solidFill>
                <a:schemeClr val="accent6"/>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3-A3FB-431A-AE09-427C9DE74083}"/>
              </c:ext>
            </c:extLst>
          </c:dPt>
          <c:dPt>
            <c:idx val="6"/>
            <c:bubble3D val="0"/>
            <c:spPr>
              <a:solidFill>
                <a:schemeClr val="accent1">
                  <a:lumMod val="60000"/>
                </a:schemeClr>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6-A3FB-431A-AE09-427C9DE74083}"/>
              </c:ext>
            </c:extLst>
          </c:dPt>
          <c:dPt>
            <c:idx val="7"/>
            <c:bubble3D val="0"/>
            <c:spPr>
              <a:solidFill>
                <a:schemeClr val="accent2">
                  <a:lumMod val="60000"/>
                </a:schemeClr>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4-A3FB-431A-AE09-427C9DE74083}"/>
              </c:ext>
            </c:extLst>
          </c:dPt>
          <c:dPt>
            <c:idx val="8"/>
            <c:bubble3D val="0"/>
            <c:spPr>
              <a:solidFill>
                <a:schemeClr val="accent3">
                  <a:lumMod val="60000"/>
                </a:schemeClr>
              </a:solidFill>
              <a:ln>
                <a:noFill/>
              </a:ln>
              <a:effectLst>
                <a:outerShdw blurRad="63500" sx="102000" sy="102000" algn="ctr" rotWithShape="0">
                  <a:prstClr val="black">
                    <a:alpha val="20000"/>
                  </a:prstClr>
                </a:outerShdw>
              </a:effectLst>
            </c:spPr>
            <c:extLst>
              <c:ext xmlns:c16="http://schemas.microsoft.com/office/drawing/2014/chart" uri="{C3380CC4-5D6E-409C-BE32-E72D297353CC}">
                <c16:uniqueId val="{00000009-A3FB-431A-AE09-427C9DE74083}"/>
              </c:ext>
            </c:extLst>
          </c:dPt>
          <c:dLbls>
            <c:dLbl>
              <c:idx val="0"/>
              <c:spPr>
                <a:noFill/>
                <a:ln>
                  <a:noFill/>
                </a:ln>
                <a:effectLst/>
              </c:spPr>
              <c:txPr>
                <a:bodyPr rot="0" spcFirstLastPara="1" vertOverflow="ellipsis" vert="horz" wrap="square" lIns="38100" tIns="19050" rIns="38100" bIns="19050" anchor="ctr" anchorCtr="1">
                  <a:spAutoFit/>
                </a:bodyPr>
                <a:lstStyle/>
                <a:p>
                  <a:pPr>
                    <a:defRPr sz="800" b="1" i="0" u="none" strike="noStrike" kern="1200" spc="0" baseline="0">
                      <a:solidFill>
                        <a:schemeClr val="accent1"/>
                      </a:solidFill>
                      <a:latin typeface="+mn-lt"/>
                      <a:ea typeface="+mn-ea"/>
                      <a:cs typeface="+mn-cs"/>
                    </a:defRPr>
                  </a:pPr>
                  <a:endParaRPr lang="en-US"/>
                </a:p>
              </c:txPr>
              <c:dLblPos val="outEnd"/>
              <c:showLegendKey val="0"/>
              <c:showVal val="0"/>
              <c:showCatName val="1"/>
              <c:showSerName val="0"/>
              <c:showPercent val="1"/>
              <c:showBubbleSize val="0"/>
              <c:extLst>
                <c:ext xmlns:c16="http://schemas.microsoft.com/office/drawing/2014/chart" uri="{C3380CC4-5D6E-409C-BE32-E72D297353CC}">
                  <c16:uniqueId val="{00000005-A3FB-431A-AE09-427C9DE74083}"/>
                </c:ext>
              </c:extLst>
            </c:dLbl>
            <c:dLbl>
              <c:idx val="1"/>
              <c:spPr>
                <a:noFill/>
                <a:ln>
                  <a:noFill/>
                </a:ln>
                <a:effectLst/>
              </c:spPr>
              <c:txPr>
                <a:bodyPr rot="0" spcFirstLastPara="1" vertOverflow="ellipsis" vert="horz" wrap="square" lIns="38100" tIns="19050" rIns="38100" bIns="19050" anchor="ctr" anchorCtr="1">
                  <a:spAutoFit/>
                </a:bodyPr>
                <a:lstStyle/>
                <a:p>
                  <a:pPr>
                    <a:defRPr sz="800" b="1" i="0" u="none" strike="noStrike" kern="1200" spc="0" baseline="0">
                      <a:solidFill>
                        <a:schemeClr val="accent2"/>
                      </a:solidFill>
                      <a:latin typeface="+mn-lt"/>
                      <a:ea typeface="+mn-ea"/>
                      <a:cs typeface="+mn-cs"/>
                    </a:defRPr>
                  </a:pPr>
                  <a:endParaRPr lang="en-US"/>
                </a:p>
              </c:txPr>
              <c:dLblPos val="outEnd"/>
              <c:showLegendKey val="0"/>
              <c:showVal val="0"/>
              <c:showCatName val="1"/>
              <c:showSerName val="0"/>
              <c:showPercent val="1"/>
              <c:showBubbleSize val="0"/>
              <c:extLst>
                <c:ext xmlns:c16="http://schemas.microsoft.com/office/drawing/2014/chart" uri="{C3380CC4-5D6E-409C-BE32-E72D297353CC}">
                  <c16:uniqueId val="{00000007-A3FB-431A-AE09-427C9DE74083}"/>
                </c:ext>
              </c:extLst>
            </c:dLbl>
            <c:dLbl>
              <c:idx val="2"/>
              <c:spPr>
                <a:noFill/>
                <a:ln>
                  <a:noFill/>
                </a:ln>
                <a:effectLst/>
              </c:spPr>
              <c:txPr>
                <a:bodyPr rot="0" spcFirstLastPara="1" vertOverflow="ellipsis" vert="horz" wrap="square" lIns="38100" tIns="19050" rIns="38100" bIns="19050" anchor="ctr" anchorCtr="1">
                  <a:spAutoFit/>
                </a:bodyPr>
                <a:lstStyle/>
                <a:p>
                  <a:pPr>
                    <a:defRPr sz="800" b="1" i="0" u="none" strike="noStrike" kern="1200" spc="0" baseline="0">
                      <a:solidFill>
                        <a:schemeClr val="accent3"/>
                      </a:solidFill>
                      <a:latin typeface="+mn-lt"/>
                      <a:ea typeface="+mn-ea"/>
                      <a:cs typeface="+mn-cs"/>
                    </a:defRPr>
                  </a:pPr>
                  <a:endParaRPr lang="en-US"/>
                </a:p>
              </c:txPr>
              <c:dLblPos val="outEnd"/>
              <c:showLegendKey val="0"/>
              <c:showVal val="0"/>
              <c:showCatName val="1"/>
              <c:showSerName val="0"/>
              <c:showPercent val="1"/>
              <c:showBubbleSize val="0"/>
              <c:extLst>
                <c:ext xmlns:c16="http://schemas.microsoft.com/office/drawing/2014/chart" uri="{C3380CC4-5D6E-409C-BE32-E72D297353CC}">
                  <c16:uniqueId val="{00000008-A3FB-431A-AE09-427C9DE74083}"/>
                </c:ext>
              </c:extLst>
            </c:dLbl>
            <c:dLbl>
              <c:idx val="3"/>
              <c:spPr>
                <a:noFill/>
                <a:ln>
                  <a:noFill/>
                </a:ln>
                <a:effectLst/>
              </c:spPr>
              <c:txPr>
                <a:bodyPr rot="0" spcFirstLastPara="1" vertOverflow="ellipsis" vert="horz" wrap="square" lIns="38100" tIns="19050" rIns="38100" bIns="19050" anchor="ctr" anchorCtr="1">
                  <a:spAutoFit/>
                </a:bodyPr>
                <a:lstStyle/>
                <a:p>
                  <a:pPr>
                    <a:defRPr sz="800" b="1" i="0" u="none" strike="noStrike" kern="1200" spc="0" baseline="0">
                      <a:solidFill>
                        <a:schemeClr val="accent4"/>
                      </a:solidFill>
                      <a:latin typeface="+mn-lt"/>
                      <a:ea typeface="+mn-ea"/>
                      <a:cs typeface="+mn-cs"/>
                    </a:defRPr>
                  </a:pPr>
                  <a:endParaRPr lang="en-US"/>
                </a:p>
              </c:txPr>
              <c:dLblPos val="outEnd"/>
              <c:showLegendKey val="0"/>
              <c:showVal val="0"/>
              <c:showCatName val="1"/>
              <c:showSerName val="0"/>
              <c:showPercent val="1"/>
              <c:showBubbleSize val="0"/>
              <c:extLst>
                <c:ext xmlns:c16="http://schemas.microsoft.com/office/drawing/2014/chart" uri="{C3380CC4-5D6E-409C-BE32-E72D297353CC}">
                  <c16:uniqueId val="{00000001-A3FB-431A-AE09-427C9DE74083}"/>
                </c:ext>
              </c:extLst>
            </c:dLbl>
            <c:dLbl>
              <c:idx val="4"/>
              <c:spPr>
                <a:noFill/>
                <a:ln>
                  <a:noFill/>
                </a:ln>
                <a:effectLst/>
              </c:spPr>
              <c:txPr>
                <a:bodyPr rot="0" spcFirstLastPara="1" vertOverflow="ellipsis" vert="horz" wrap="square" lIns="38100" tIns="19050" rIns="38100" bIns="19050" anchor="ctr" anchorCtr="1">
                  <a:spAutoFit/>
                </a:bodyPr>
                <a:lstStyle/>
                <a:p>
                  <a:pPr>
                    <a:defRPr sz="800" b="1" i="0" u="none" strike="noStrike" kern="1200" spc="0" baseline="0">
                      <a:solidFill>
                        <a:schemeClr val="accent5"/>
                      </a:solidFill>
                      <a:latin typeface="+mn-lt"/>
                      <a:ea typeface="+mn-ea"/>
                      <a:cs typeface="+mn-cs"/>
                    </a:defRPr>
                  </a:pPr>
                  <a:endParaRPr lang="en-US"/>
                </a:p>
              </c:txPr>
              <c:dLblPos val="outEnd"/>
              <c:showLegendKey val="0"/>
              <c:showVal val="0"/>
              <c:showCatName val="1"/>
              <c:showSerName val="0"/>
              <c:showPercent val="1"/>
              <c:showBubbleSize val="0"/>
              <c:extLst>
                <c:ext xmlns:c16="http://schemas.microsoft.com/office/drawing/2014/chart" uri="{C3380CC4-5D6E-409C-BE32-E72D297353CC}">
                  <c16:uniqueId val="{00000002-A3FB-431A-AE09-427C9DE74083}"/>
                </c:ext>
              </c:extLst>
            </c:dLbl>
            <c:dLbl>
              <c:idx val="5"/>
              <c:spPr>
                <a:noFill/>
                <a:ln>
                  <a:noFill/>
                </a:ln>
                <a:effectLst/>
              </c:spPr>
              <c:txPr>
                <a:bodyPr rot="0" spcFirstLastPara="1" vertOverflow="ellipsis" vert="horz" wrap="square" lIns="38100" tIns="19050" rIns="38100" bIns="19050" anchor="ctr" anchorCtr="1">
                  <a:spAutoFit/>
                </a:bodyPr>
                <a:lstStyle/>
                <a:p>
                  <a:pPr>
                    <a:defRPr sz="800" b="1" i="0" u="none" strike="noStrike" kern="1200" spc="0" baseline="0">
                      <a:solidFill>
                        <a:schemeClr val="accent6"/>
                      </a:solidFill>
                      <a:latin typeface="+mn-lt"/>
                      <a:ea typeface="+mn-ea"/>
                      <a:cs typeface="+mn-cs"/>
                    </a:defRPr>
                  </a:pPr>
                  <a:endParaRPr lang="en-US"/>
                </a:p>
              </c:txPr>
              <c:dLblPos val="outEnd"/>
              <c:showLegendKey val="0"/>
              <c:showVal val="0"/>
              <c:showCatName val="1"/>
              <c:showSerName val="0"/>
              <c:showPercent val="1"/>
              <c:showBubbleSize val="0"/>
              <c:extLst>
                <c:ext xmlns:c16="http://schemas.microsoft.com/office/drawing/2014/chart" uri="{C3380CC4-5D6E-409C-BE32-E72D297353CC}">
                  <c16:uniqueId val="{00000003-A3FB-431A-AE09-427C9DE74083}"/>
                </c:ext>
              </c:extLst>
            </c:dLbl>
            <c:dLbl>
              <c:idx val="6"/>
              <c:spPr>
                <a:noFill/>
                <a:ln>
                  <a:noFill/>
                </a:ln>
                <a:effectLst/>
              </c:spPr>
              <c:txPr>
                <a:bodyPr rot="0" spcFirstLastPara="1" vertOverflow="ellipsis" vert="horz" wrap="square" lIns="38100" tIns="19050" rIns="38100" bIns="19050" anchor="ctr" anchorCtr="1">
                  <a:spAutoFit/>
                </a:bodyPr>
                <a:lstStyle/>
                <a:p>
                  <a:pPr>
                    <a:defRPr sz="800" b="1" i="0" u="none" strike="noStrike" kern="1200" spc="0" baseline="0">
                      <a:solidFill>
                        <a:schemeClr val="accent1">
                          <a:lumMod val="60000"/>
                        </a:schemeClr>
                      </a:solidFill>
                      <a:latin typeface="+mn-lt"/>
                      <a:ea typeface="+mn-ea"/>
                      <a:cs typeface="+mn-cs"/>
                    </a:defRPr>
                  </a:pPr>
                  <a:endParaRPr lang="en-US"/>
                </a:p>
              </c:txPr>
              <c:dLblPos val="outEnd"/>
              <c:showLegendKey val="0"/>
              <c:showVal val="0"/>
              <c:showCatName val="1"/>
              <c:showSerName val="0"/>
              <c:showPercent val="1"/>
              <c:showBubbleSize val="0"/>
              <c:extLst>
                <c:ext xmlns:c16="http://schemas.microsoft.com/office/drawing/2014/chart" uri="{C3380CC4-5D6E-409C-BE32-E72D297353CC}">
                  <c16:uniqueId val="{00000006-A3FB-431A-AE09-427C9DE74083}"/>
                </c:ext>
              </c:extLst>
            </c:dLbl>
            <c:dLbl>
              <c:idx val="7"/>
              <c:spPr>
                <a:noFill/>
                <a:ln>
                  <a:noFill/>
                </a:ln>
                <a:effectLst/>
              </c:spPr>
              <c:txPr>
                <a:bodyPr rot="0" spcFirstLastPara="1" vertOverflow="ellipsis" vert="horz" wrap="square" lIns="38100" tIns="19050" rIns="38100" bIns="19050" anchor="ctr" anchorCtr="1">
                  <a:spAutoFit/>
                </a:bodyPr>
                <a:lstStyle/>
                <a:p>
                  <a:pPr>
                    <a:defRPr sz="800" b="1" i="0" u="none" strike="noStrike" kern="1200" spc="0" baseline="0">
                      <a:solidFill>
                        <a:schemeClr val="accent2">
                          <a:lumMod val="60000"/>
                        </a:schemeClr>
                      </a:solidFill>
                      <a:latin typeface="+mn-lt"/>
                      <a:ea typeface="+mn-ea"/>
                      <a:cs typeface="+mn-cs"/>
                    </a:defRPr>
                  </a:pPr>
                  <a:endParaRPr lang="en-US"/>
                </a:p>
              </c:txPr>
              <c:dLblPos val="outEnd"/>
              <c:showLegendKey val="0"/>
              <c:showVal val="0"/>
              <c:showCatName val="1"/>
              <c:showSerName val="0"/>
              <c:showPercent val="1"/>
              <c:showBubbleSize val="0"/>
              <c:extLst>
                <c:ext xmlns:c16="http://schemas.microsoft.com/office/drawing/2014/chart" uri="{C3380CC4-5D6E-409C-BE32-E72D297353CC}">
                  <c16:uniqueId val="{00000004-A3FB-431A-AE09-427C9DE74083}"/>
                </c:ext>
              </c:extLst>
            </c:dLbl>
            <c:dLbl>
              <c:idx val="8"/>
              <c:spPr>
                <a:noFill/>
                <a:ln>
                  <a:noFill/>
                </a:ln>
                <a:effectLst/>
              </c:spPr>
              <c:txPr>
                <a:bodyPr rot="0" spcFirstLastPara="1" vertOverflow="ellipsis" vert="horz" wrap="square" lIns="38100" tIns="19050" rIns="38100" bIns="19050" anchor="ctr" anchorCtr="1">
                  <a:spAutoFit/>
                </a:bodyPr>
                <a:lstStyle/>
                <a:p>
                  <a:pPr>
                    <a:defRPr sz="800" b="1" i="0" u="none" strike="noStrike" kern="1200" spc="0" baseline="0">
                      <a:solidFill>
                        <a:schemeClr val="accent3">
                          <a:lumMod val="60000"/>
                        </a:schemeClr>
                      </a:solidFill>
                      <a:latin typeface="+mn-lt"/>
                      <a:ea typeface="+mn-ea"/>
                      <a:cs typeface="+mn-cs"/>
                    </a:defRPr>
                  </a:pPr>
                  <a:endParaRPr lang="en-US"/>
                </a:p>
              </c:txPr>
              <c:dLblPos val="outEnd"/>
              <c:showLegendKey val="0"/>
              <c:showVal val="0"/>
              <c:showCatName val="1"/>
              <c:showSerName val="0"/>
              <c:showPercent val="1"/>
              <c:showBubbleSize val="0"/>
              <c:extLst>
                <c:ext xmlns:c16="http://schemas.microsoft.com/office/drawing/2014/chart" uri="{C3380CC4-5D6E-409C-BE32-E72D297353CC}">
                  <c16:uniqueId val="{00000009-A3FB-431A-AE09-427C9DE74083}"/>
                </c:ext>
              </c:extLst>
            </c:dLbl>
            <c:spPr>
              <a:noFill/>
              <a:ln>
                <a:noFill/>
              </a:ln>
              <a:effectLst/>
            </c:spPr>
            <c:txPr>
              <a:bodyPr rot="0" spcFirstLastPara="1" vertOverflow="ellipsis" vert="horz" wrap="square" lIns="38100" tIns="19050" rIns="38100" bIns="19050" anchor="ctr" anchorCtr="1">
                <a:spAutoFit/>
              </a:bodyPr>
              <a:lstStyle/>
              <a:p>
                <a:pPr>
                  <a:defRPr sz="800" b="1" i="0" u="none" strike="noStrike" kern="1200" spc="0" baseline="0">
                    <a:solidFill>
                      <a:schemeClr val="accent1"/>
                    </a:solidFill>
                    <a:latin typeface="+mn-lt"/>
                    <a:ea typeface="+mn-ea"/>
                    <a:cs typeface="+mn-cs"/>
                  </a:defRPr>
                </a:pPr>
                <a:endParaRPr lang="en-US"/>
              </a:p>
            </c:txPr>
            <c:dLblPos val="outEnd"/>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'My Dashboard'!$B$42:$B$52</c:f>
              <c:strCache>
                <c:ptCount val="9"/>
                <c:pt idx="0">
                  <c:v>Housing</c:v>
                </c:pt>
                <c:pt idx="1">
                  <c:v>Entertainment </c:v>
                </c:pt>
                <c:pt idx="2">
                  <c:v>Transportation </c:v>
                </c:pt>
                <c:pt idx="3">
                  <c:v>Loan</c:v>
                </c:pt>
                <c:pt idx="4">
                  <c:v>Insurance</c:v>
                </c:pt>
                <c:pt idx="5">
                  <c:v>Taxes</c:v>
                </c:pt>
                <c:pt idx="6">
                  <c:v>Food </c:v>
                </c:pt>
                <c:pt idx="7">
                  <c:v>Saving/Investment</c:v>
                </c:pt>
                <c:pt idx="8">
                  <c:v>Personal Care</c:v>
                </c:pt>
              </c:strCache>
            </c:strRef>
          </c:cat>
          <c:val>
            <c:numRef>
              <c:f>'My Dashboard'!$D$42:$D$52</c:f>
              <c:numCache>
                <c:formatCode>_("$"* #,##0_);_("$"* \(#,##0\);_("$"* "-"??_);_(@_)</c:formatCode>
                <c:ptCount val="9"/>
                <c:pt idx="0">
                  <c:v>1236</c:v>
                </c:pt>
                <c:pt idx="1">
                  <c:v>135</c:v>
                </c:pt>
                <c:pt idx="2">
                  <c:v>1360</c:v>
                </c:pt>
                <c:pt idx="3">
                  <c:v>600</c:v>
                </c:pt>
                <c:pt idx="4">
                  <c:v>432</c:v>
                </c:pt>
                <c:pt idx="5">
                  <c:v>200</c:v>
                </c:pt>
                <c:pt idx="6">
                  <c:v>826</c:v>
                </c:pt>
                <c:pt idx="7">
                  <c:v>200</c:v>
                </c:pt>
                <c:pt idx="8">
                  <c:v>410</c:v>
                </c:pt>
              </c:numCache>
            </c:numRef>
          </c:val>
          <c:extLst>
            <c:ext xmlns:c16="http://schemas.microsoft.com/office/drawing/2014/chart" uri="{C3380CC4-5D6E-409C-BE32-E72D297353CC}">
              <c16:uniqueId val="{00000000-A3FB-431A-AE09-427C9DE74083}"/>
            </c:ext>
          </c:extLst>
        </c:ser>
        <c:dLbls>
          <c:dLblPos val="outEnd"/>
          <c:showLegendKey val="0"/>
          <c:showVal val="0"/>
          <c:showCatName val="1"/>
          <c:showSerName val="0"/>
          <c:showPercent val="0"/>
          <c:showBubbleSize val="0"/>
          <c:showLeaderLines val="1"/>
        </c:dLbls>
        <c:firstSliceAng val="0"/>
      </c:pie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lumMod val="95000"/>
      </a:schemeClr>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r>
              <a:rPr lang="en-US"/>
              <a:t>Surplus/Deficit</a:t>
            </a:r>
          </a:p>
        </c:rich>
      </c:tx>
      <c:overlay val="0"/>
      <c:spPr>
        <a:noFill/>
        <a:ln>
          <a:noFill/>
        </a:ln>
        <a:effectLst/>
      </c:spPr>
      <c:txPr>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endParaRPr lang="en-US"/>
        </a:p>
      </c:txPr>
    </c:title>
    <c:autoTitleDeleted val="0"/>
    <c:plotArea>
      <c:layout/>
      <c:barChart>
        <c:barDir val="col"/>
        <c:grouping val="clustered"/>
        <c:varyColors val="0"/>
        <c:ser>
          <c:idx val="0"/>
          <c:order val="0"/>
          <c:tx>
            <c:strRef>
              <c:f>'My Dashboard'!$B$42</c:f>
              <c:strCache>
                <c:ptCount val="1"/>
                <c:pt idx="0">
                  <c:v>Housing</c:v>
                </c:pt>
              </c:strCache>
            </c:strRef>
          </c:tx>
          <c:spPr>
            <a:noFill/>
            <a:ln w="9525" cap="flat" cmpd="sng" algn="ctr">
              <a:solidFill>
                <a:schemeClr val="accent1"/>
              </a:solidFill>
              <a:miter lim="800000"/>
            </a:ln>
            <a:effectLst>
              <a:glow rad="63500">
                <a:schemeClr val="accent1">
                  <a:satMod val="175000"/>
                  <a:alpha val="25000"/>
                </a:schemeClr>
              </a:glo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50000"/>
                        </a:schemeClr>
                      </a:solidFill>
                      <a:round/>
                    </a:ln>
                    <a:effectLst/>
                  </c:spPr>
                </c15:leaderLines>
              </c:ext>
            </c:extLst>
          </c:dLbls>
          <c:val>
            <c:numRef>
              <c:f>'My Dashboard'!$E$42</c:f>
              <c:numCache>
                <c:formatCode>_("$"* #,##0_);_("$"* \(#,##0\);_("$"* "-"??_);_(@_)</c:formatCode>
                <c:ptCount val="1"/>
                <c:pt idx="0">
                  <c:v>-41</c:v>
                </c:pt>
              </c:numCache>
            </c:numRef>
          </c:val>
          <c:extLst>
            <c:ext xmlns:c16="http://schemas.microsoft.com/office/drawing/2014/chart" uri="{C3380CC4-5D6E-409C-BE32-E72D297353CC}">
              <c16:uniqueId val="{00000000-AFA6-427D-897E-803A17182839}"/>
            </c:ext>
          </c:extLst>
        </c:ser>
        <c:ser>
          <c:idx val="1"/>
          <c:order val="1"/>
          <c:tx>
            <c:strRef>
              <c:f>'My Dashboard'!$B$43</c:f>
              <c:strCache>
                <c:ptCount val="1"/>
                <c:pt idx="0">
                  <c:v>Entertainment </c:v>
                </c:pt>
              </c:strCache>
            </c:strRef>
          </c:tx>
          <c:spPr>
            <a:noFill/>
            <a:ln w="9525" cap="flat" cmpd="sng" algn="ctr">
              <a:solidFill>
                <a:schemeClr val="accent2"/>
              </a:solidFill>
              <a:miter lim="800000"/>
            </a:ln>
            <a:effectLst>
              <a:glow rad="63500">
                <a:schemeClr val="accent2">
                  <a:satMod val="175000"/>
                  <a:alpha val="25000"/>
                </a:schemeClr>
              </a:glo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50000"/>
                        </a:schemeClr>
                      </a:solidFill>
                      <a:round/>
                    </a:ln>
                    <a:effectLst/>
                  </c:spPr>
                </c15:leaderLines>
              </c:ext>
            </c:extLst>
          </c:dLbls>
          <c:val>
            <c:numRef>
              <c:f>'My Dashboard'!$E$43</c:f>
              <c:numCache>
                <c:formatCode>_("$"* #,##0_);_("$"* \(#,##0\);_("$"* "-"??_);_(@_)</c:formatCode>
                <c:ptCount val="1"/>
                <c:pt idx="0">
                  <c:v>70</c:v>
                </c:pt>
              </c:numCache>
            </c:numRef>
          </c:val>
          <c:extLst>
            <c:ext xmlns:c16="http://schemas.microsoft.com/office/drawing/2014/chart" uri="{C3380CC4-5D6E-409C-BE32-E72D297353CC}">
              <c16:uniqueId val="{00000001-AFA6-427D-897E-803A17182839}"/>
            </c:ext>
          </c:extLst>
        </c:ser>
        <c:ser>
          <c:idx val="2"/>
          <c:order val="2"/>
          <c:tx>
            <c:strRef>
              <c:f>'My Dashboard'!$B$44</c:f>
              <c:strCache>
                <c:ptCount val="1"/>
                <c:pt idx="0">
                  <c:v>Transportation </c:v>
                </c:pt>
              </c:strCache>
            </c:strRef>
          </c:tx>
          <c:spPr>
            <a:noFill/>
            <a:ln w="9525" cap="flat" cmpd="sng" algn="ctr">
              <a:solidFill>
                <a:schemeClr val="accent3"/>
              </a:solidFill>
              <a:miter lim="800000"/>
            </a:ln>
            <a:effectLst>
              <a:glow rad="63500">
                <a:schemeClr val="accent3">
                  <a:satMod val="175000"/>
                  <a:alpha val="25000"/>
                </a:schemeClr>
              </a:glo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50000"/>
                        </a:schemeClr>
                      </a:solidFill>
                      <a:round/>
                    </a:ln>
                    <a:effectLst/>
                  </c:spPr>
                </c15:leaderLines>
              </c:ext>
            </c:extLst>
          </c:dLbls>
          <c:val>
            <c:numRef>
              <c:f>'My Dashboard'!$E$44</c:f>
              <c:numCache>
                <c:formatCode>_("$"* #,##0_);_("$"* \(#,##0\);_("$"* "-"??_);_(@_)</c:formatCode>
                <c:ptCount val="1"/>
                <c:pt idx="0">
                  <c:v>-250</c:v>
                </c:pt>
              </c:numCache>
            </c:numRef>
          </c:val>
          <c:extLst>
            <c:ext xmlns:c16="http://schemas.microsoft.com/office/drawing/2014/chart" uri="{C3380CC4-5D6E-409C-BE32-E72D297353CC}">
              <c16:uniqueId val="{00000002-AFA6-427D-897E-803A17182839}"/>
            </c:ext>
          </c:extLst>
        </c:ser>
        <c:ser>
          <c:idx val="3"/>
          <c:order val="3"/>
          <c:tx>
            <c:strRef>
              <c:f>'My Dashboard'!$B$45</c:f>
              <c:strCache>
                <c:ptCount val="1"/>
                <c:pt idx="0">
                  <c:v>Loan</c:v>
                </c:pt>
              </c:strCache>
            </c:strRef>
          </c:tx>
          <c:spPr>
            <a:noFill/>
            <a:ln w="9525" cap="flat" cmpd="sng" algn="ctr">
              <a:solidFill>
                <a:schemeClr val="accent4"/>
              </a:solidFill>
              <a:miter lim="800000"/>
            </a:ln>
            <a:effectLst>
              <a:glow rad="63500">
                <a:schemeClr val="accent4">
                  <a:satMod val="175000"/>
                  <a:alpha val="25000"/>
                </a:schemeClr>
              </a:glo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50000"/>
                        </a:schemeClr>
                      </a:solidFill>
                      <a:round/>
                    </a:ln>
                    <a:effectLst/>
                  </c:spPr>
                </c15:leaderLines>
              </c:ext>
            </c:extLst>
          </c:dLbls>
          <c:val>
            <c:numRef>
              <c:f>'My Dashboard'!$E$45</c:f>
              <c:numCache>
                <c:formatCode>_("$"* #,##0_);_("$"* \(#,##0\);_("$"* "-"??_);_(@_)</c:formatCode>
                <c:ptCount val="1"/>
                <c:pt idx="0">
                  <c:v>150</c:v>
                </c:pt>
              </c:numCache>
            </c:numRef>
          </c:val>
          <c:extLst>
            <c:ext xmlns:c16="http://schemas.microsoft.com/office/drawing/2014/chart" uri="{C3380CC4-5D6E-409C-BE32-E72D297353CC}">
              <c16:uniqueId val="{00000003-AFA6-427D-897E-803A17182839}"/>
            </c:ext>
          </c:extLst>
        </c:ser>
        <c:ser>
          <c:idx val="4"/>
          <c:order val="4"/>
          <c:tx>
            <c:strRef>
              <c:f>'My Dashboard'!$B$46</c:f>
              <c:strCache>
                <c:ptCount val="1"/>
                <c:pt idx="0">
                  <c:v>Insurance</c:v>
                </c:pt>
              </c:strCache>
            </c:strRef>
          </c:tx>
          <c:spPr>
            <a:noFill/>
            <a:ln w="9525" cap="flat" cmpd="sng" algn="ctr">
              <a:solidFill>
                <a:schemeClr val="accent5"/>
              </a:solidFill>
              <a:miter lim="800000"/>
            </a:ln>
            <a:effectLst>
              <a:glow rad="63500">
                <a:schemeClr val="accent5">
                  <a:satMod val="175000"/>
                  <a:alpha val="25000"/>
                </a:schemeClr>
              </a:glo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50000"/>
                        </a:schemeClr>
                      </a:solidFill>
                      <a:round/>
                    </a:ln>
                    <a:effectLst/>
                  </c:spPr>
                </c15:leaderLines>
              </c:ext>
            </c:extLst>
          </c:dLbls>
          <c:val>
            <c:numRef>
              <c:f>'My Dashboard'!$E$46</c:f>
              <c:numCache>
                <c:formatCode>_("$"* #,##0_);_("$"* \(#,##0\);_("$"* "-"??_);_(@_)</c:formatCode>
                <c:ptCount val="1"/>
                <c:pt idx="0">
                  <c:v>0</c:v>
                </c:pt>
              </c:numCache>
            </c:numRef>
          </c:val>
          <c:extLst>
            <c:ext xmlns:c16="http://schemas.microsoft.com/office/drawing/2014/chart" uri="{C3380CC4-5D6E-409C-BE32-E72D297353CC}">
              <c16:uniqueId val="{00000004-AFA6-427D-897E-803A17182839}"/>
            </c:ext>
          </c:extLst>
        </c:ser>
        <c:ser>
          <c:idx val="5"/>
          <c:order val="5"/>
          <c:tx>
            <c:strRef>
              <c:f>'My Dashboard'!$B$47</c:f>
              <c:strCache>
                <c:ptCount val="1"/>
                <c:pt idx="0">
                  <c:v>Taxes</c:v>
                </c:pt>
              </c:strCache>
            </c:strRef>
          </c:tx>
          <c:spPr>
            <a:noFill/>
            <a:ln w="9525" cap="flat" cmpd="sng" algn="ctr">
              <a:solidFill>
                <a:schemeClr val="accent6"/>
              </a:solidFill>
              <a:miter lim="800000"/>
            </a:ln>
            <a:effectLst>
              <a:glow rad="63500">
                <a:schemeClr val="accent6">
                  <a:satMod val="175000"/>
                  <a:alpha val="25000"/>
                </a:schemeClr>
              </a:glo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50000"/>
                        </a:schemeClr>
                      </a:solidFill>
                      <a:round/>
                    </a:ln>
                    <a:effectLst/>
                  </c:spPr>
                </c15:leaderLines>
              </c:ext>
            </c:extLst>
          </c:dLbls>
          <c:val>
            <c:numRef>
              <c:f>'My Dashboard'!$E$47</c:f>
              <c:numCache>
                <c:formatCode>_("$"* #,##0_);_("$"* \(#,##0\);_("$"* "-"??_);_(@_)</c:formatCode>
                <c:ptCount val="1"/>
                <c:pt idx="0">
                  <c:v>0</c:v>
                </c:pt>
              </c:numCache>
            </c:numRef>
          </c:val>
          <c:extLst>
            <c:ext xmlns:c16="http://schemas.microsoft.com/office/drawing/2014/chart" uri="{C3380CC4-5D6E-409C-BE32-E72D297353CC}">
              <c16:uniqueId val="{00000005-AFA6-427D-897E-803A17182839}"/>
            </c:ext>
          </c:extLst>
        </c:ser>
        <c:ser>
          <c:idx val="6"/>
          <c:order val="6"/>
          <c:tx>
            <c:strRef>
              <c:f>'My Dashboard'!$B$48</c:f>
              <c:strCache>
                <c:ptCount val="1"/>
                <c:pt idx="0">
                  <c:v>Food </c:v>
                </c:pt>
              </c:strCache>
            </c:strRef>
          </c:tx>
          <c:spPr>
            <a:noFill/>
            <a:ln w="9525" cap="flat" cmpd="sng" algn="ctr">
              <a:solidFill>
                <a:schemeClr val="accent1">
                  <a:lumMod val="60000"/>
                </a:schemeClr>
              </a:solidFill>
              <a:miter lim="800000"/>
            </a:ln>
            <a:effectLst>
              <a:glow rad="63500">
                <a:schemeClr val="accent1">
                  <a:lumMod val="60000"/>
                  <a:satMod val="175000"/>
                  <a:alpha val="25000"/>
                </a:schemeClr>
              </a:glo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50000"/>
                        </a:schemeClr>
                      </a:solidFill>
                      <a:round/>
                    </a:ln>
                    <a:effectLst/>
                  </c:spPr>
                </c15:leaderLines>
              </c:ext>
            </c:extLst>
          </c:dLbls>
          <c:val>
            <c:numRef>
              <c:f>'My Dashboard'!$E$48</c:f>
              <c:numCache>
                <c:formatCode>_("$"* #,##0_);_("$"* \(#,##0\);_("$"* "-"??_);_(@_)</c:formatCode>
                <c:ptCount val="1"/>
                <c:pt idx="0">
                  <c:v>-26</c:v>
                </c:pt>
              </c:numCache>
            </c:numRef>
          </c:val>
          <c:extLst>
            <c:ext xmlns:c16="http://schemas.microsoft.com/office/drawing/2014/chart" uri="{C3380CC4-5D6E-409C-BE32-E72D297353CC}">
              <c16:uniqueId val="{00000006-AFA6-427D-897E-803A17182839}"/>
            </c:ext>
          </c:extLst>
        </c:ser>
        <c:ser>
          <c:idx val="7"/>
          <c:order val="7"/>
          <c:tx>
            <c:strRef>
              <c:f>'My Dashboard'!$B$49</c:f>
              <c:strCache>
                <c:ptCount val="1"/>
                <c:pt idx="0">
                  <c:v>Saving/Investment</c:v>
                </c:pt>
              </c:strCache>
            </c:strRef>
          </c:tx>
          <c:spPr>
            <a:noFill/>
            <a:ln w="9525" cap="flat" cmpd="sng" algn="ctr">
              <a:solidFill>
                <a:schemeClr val="accent2">
                  <a:lumMod val="60000"/>
                </a:schemeClr>
              </a:solidFill>
              <a:miter lim="800000"/>
            </a:ln>
            <a:effectLst>
              <a:glow rad="63500">
                <a:schemeClr val="accent2">
                  <a:lumMod val="60000"/>
                  <a:satMod val="175000"/>
                  <a:alpha val="25000"/>
                </a:schemeClr>
              </a:glo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50000"/>
                        </a:schemeClr>
                      </a:solidFill>
                      <a:round/>
                    </a:ln>
                    <a:effectLst/>
                  </c:spPr>
                </c15:leaderLines>
              </c:ext>
            </c:extLst>
          </c:dLbls>
          <c:val>
            <c:numRef>
              <c:f>'My Dashboard'!$E$49</c:f>
              <c:numCache>
                <c:formatCode>_("$"* #,##0_);_("$"* \(#,##0\);_("$"* "-"??_);_(@_)</c:formatCode>
                <c:ptCount val="1"/>
                <c:pt idx="0">
                  <c:v>30</c:v>
                </c:pt>
              </c:numCache>
            </c:numRef>
          </c:val>
          <c:extLst>
            <c:ext xmlns:c16="http://schemas.microsoft.com/office/drawing/2014/chart" uri="{C3380CC4-5D6E-409C-BE32-E72D297353CC}">
              <c16:uniqueId val="{00000007-AFA6-427D-897E-803A17182839}"/>
            </c:ext>
          </c:extLst>
        </c:ser>
        <c:ser>
          <c:idx val="8"/>
          <c:order val="8"/>
          <c:tx>
            <c:strRef>
              <c:f>'My Dashboard'!$B$50</c:f>
              <c:strCache>
                <c:ptCount val="1"/>
                <c:pt idx="0">
                  <c:v>Pets</c:v>
                </c:pt>
              </c:strCache>
            </c:strRef>
          </c:tx>
          <c:spPr>
            <a:noFill/>
            <a:ln w="9525" cap="flat" cmpd="sng" algn="ctr">
              <a:solidFill>
                <a:schemeClr val="accent3">
                  <a:lumMod val="60000"/>
                </a:schemeClr>
              </a:solidFill>
              <a:miter lim="800000"/>
            </a:ln>
            <a:effectLst>
              <a:glow rad="63500">
                <a:schemeClr val="accent3">
                  <a:lumMod val="60000"/>
                  <a:satMod val="175000"/>
                  <a:alpha val="25000"/>
                </a:schemeClr>
              </a:glo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50000"/>
                        </a:schemeClr>
                      </a:solidFill>
                      <a:round/>
                    </a:ln>
                    <a:effectLst/>
                  </c:spPr>
                </c15:leaderLines>
              </c:ext>
            </c:extLst>
          </c:dLbls>
          <c:val>
            <c:numRef>
              <c:f>'My Dashboard'!$E$50</c:f>
            </c:numRef>
          </c:val>
          <c:extLst>
            <c:ext xmlns:c16="http://schemas.microsoft.com/office/drawing/2014/chart" uri="{C3380CC4-5D6E-409C-BE32-E72D297353CC}">
              <c16:uniqueId val="{00000008-AFA6-427D-897E-803A17182839}"/>
            </c:ext>
          </c:extLst>
        </c:ser>
        <c:ser>
          <c:idx val="9"/>
          <c:order val="9"/>
          <c:tx>
            <c:strRef>
              <c:f>'My Dashboard'!$B$51</c:f>
              <c:strCache>
                <c:ptCount val="1"/>
                <c:pt idx="0">
                  <c:v>Gift and Donation</c:v>
                </c:pt>
              </c:strCache>
            </c:strRef>
          </c:tx>
          <c:spPr>
            <a:noFill/>
            <a:ln w="9525" cap="flat" cmpd="sng" algn="ctr">
              <a:solidFill>
                <a:schemeClr val="accent4">
                  <a:lumMod val="60000"/>
                </a:schemeClr>
              </a:solidFill>
              <a:miter lim="800000"/>
            </a:ln>
            <a:effectLst>
              <a:glow rad="63500">
                <a:schemeClr val="accent4">
                  <a:lumMod val="60000"/>
                  <a:satMod val="175000"/>
                  <a:alpha val="25000"/>
                </a:schemeClr>
              </a:glo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50000"/>
                        </a:schemeClr>
                      </a:solidFill>
                      <a:round/>
                    </a:ln>
                    <a:effectLst/>
                  </c:spPr>
                </c15:leaderLines>
              </c:ext>
            </c:extLst>
          </c:dLbls>
          <c:val>
            <c:numRef>
              <c:f>'My Dashboard'!$E$51</c:f>
            </c:numRef>
          </c:val>
          <c:extLst>
            <c:ext xmlns:c16="http://schemas.microsoft.com/office/drawing/2014/chart" uri="{C3380CC4-5D6E-409C-BE32-E72D297353CC}">
              <c16:uniqueId val="{00000009-AFA6-427D-897E-803A17182839}"/>
            </c:ext>
          </c:extLst>
        </c:ser>
        <c:ser>
          <c:idx val="10"/>
          <c:order val="10"/>
          <c:tx>
            <c:strRef>
              <c:f>'My Dashboard'!$B$52</c:f>
              <c:strCache>
                <c:ptCount val="1"/>
                <c:pt idx="0">
                  <c:v>Personal Care</c:v>
                </c:pt>
              </c:strCache>
            </c:strRef>
          </c:tx>
          <c:spPr>
            <a:noFill/>
            <a:ln w="9525" cap="flat" cmpd="sng" algn="ctr">
              <a:solidFill>
                <a:schemeClr val="accent5">
                  <a:lumMod val="60000"/>
                </a:schemeClr>
              </a:solidFill>
              <a:miter lim="800000"/>
            </a:ln>
            <a:effectLst>
              <a:glow rad="63500">
                <a:schemeClr val="accent5">
                  <a:lumMod val="60000"/>
                  <a:satMod val="175000"/>
                  <a:alpha val="25000"/>
                </a:schemeClr>
              </a:glo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50000"/>
                        </a:schemeClr>
                      </a:solidFill>
                      <a:round/>
                    </a:ln>
                    <a:effectLst/>
                  </c:spPr>
                </c15:leaderLines>
              </c:ext>
            </c:extLst>
          </c:dLbls>
          <c:val>
            <c:numRef>
              <c:f>'My Dashboard'!$E$52</c:f>
              <c:numCache>
                <c:formatCode>_("$"* #,##0_);_("$"* \(#,##0\);_("$"* "-"??_);_(@_)</c:formatCode>
                <c:ptCount val="1"/>
                <c:pt idx="0">
                  <c:v>-235</c:v>
                </c:pt>
              </c:numCache>
            </c:numRef>
          </c:val>
          <c:extLst>
            <c:ext xmlns:c16="http://schemas.microsoft.com/office/drawing/2014/chart" uri="{C3380CC4-5D6E-409C-BE32-E72D297353CC}">
              <c16:uniqueId val="{0000000A-AFA6-427D-897E-803A17182839}"/>
            </c:ext>
          </c:extLst>
        </c:ser>
        <c:dLbls>
          <c:dLblPos val="outEnd"/>
          <c:showLegendKey val="0"/>
          <c:showVal val="1"/>
          <c:showCatName val="0"/>
          <c:showSerName val="0"/>
          <c:showPercent val="0"/>
          <c:showBubbleSize val="0"/>
        </c:dLbls>
        <c:gapWidth val="315"/>
        <c:overlap val="-40"/>
        <c:axId val="528996015"/>
        <c:axId val="787877407"/>
      </c:barChart>
      <c:catAx>
        <c:axId val="528996015"/>
        <c:scaling>
          <c:orientation val="minMax"/>
        </c:scaling>
        <c:delete val="0"/>
        <c:axPos val="b"/>
        <c:majorGridlines>
          <c:spPr>
            <a:ln w="9525" cap="flat" cmpd="sng" algn="ctr">
              <a:gradFill>
                <a:gsLst>
                  <a:gs pos="100000">
                    <a:schemeClr val="dk1">
                      <a:lumMod val="75000"/>
                      <a:lumOff val="25000"/>
                    </a:schemeClr>
                  </a:gs>
                  <a:gs pos="0">
                    <a:schemeClr val="dk1">
                      <a:lumMod val="65000"/>
                      <a:lumOff val="35000"/>
                    </a:schemeClr>
                  </a:gs>
                </a:gsLst>
                <a:lin ang="5400000" scaled="0"/>
              </a:gra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n-US"/>
          </a:p>
        </c:txPr>
        <c:crossAx val="787877407"/>
        <c:crosses val="autoZero"/>
        <c:auto val="1"/>
        <c:lblAlgn val="ctr"/>
        <c:lblOffset val="100"/>
        <c:noMultiLvlLbl val="0"/>
      </c:catAx>
      <c:valAx>
        <c:axId val="787877407"/>
        <c:scaling>
          <c:orientation val="minMax"/>
        </c:scaling>
        <c:delete val="0"/>
        <c:axPos val="l"/>
        <c:majorGridlines>
          <c:spPr>
            <a:ln w="9525" cap="flat" cmpd="sng" algn="ctr">
              <a:gradFill>
                <a:gsLst>
                  <a:gs pos="100000">
                    <a:schemeClr val="dk1">
                      <a:lumMod val="75000"/>
                      <a:lumOff val="25000"/>
                    </a:schemeClr>
                  </a:gs>
                  <a:gs pos="0">
                    <a:schemeClr val="dk1">
                      <a:lumMod val="65000"/>
                      <a:lumOff val="35000"/>
                    </a:schemeClr>
                  </a:gs>
                </a:gsLst>
                <a:lin ang="5400000" scaled="0"/>
              </a:gradFill>
              <a:round/>
            </a:ln>
            <a:effectLst/>
          </c:spPr>
        </c:majorGridlines>
        <c:numFmt formatCode="_(&quot;$&quot;* #,##0_);_(&quot;$&quot;* \(#,##0\);_(&quot;$&quot;* &quot;-&quot;??_);_(@_)" sourceLinked="1"/>
        <c:majorTickMark val="none"/>
        <c:minorTickMark val="none"/>
        <c:tickLblPos val="nextTo"/>
        <c:spPr>
          <a:noFill/>
          <a:ln>
            <a:noFill/>
          </a:ln>
          <a:effectLst/>
        </c:spPr>
        <c:txPr>
          <a:bodyPr rot="-60000000" spcFirstLastPara="1" vertOverflow="ellipsis" vert="horz" wrap="square" anchor="ctr" anchorCtr="1"/>
          <a:lstStyle/>
          <a:p>
            <a:pPr>
              <a:defRPr sz="800" b="1" i="0" u="none" strike="noStrike" kern="1200" baseline="0">
                <a:solidFill>
                  <a:schemeClr val="lt1">
                    <a:lumMod val="75000"/>
                  </a:schemeClr>
                </a:solidFill>
                <a:latin typeface="+mn-lt"/>
                <a:ea typeface="+mn-ea"/>
                <a:cs typeface="+mn-cs"/>
              </a:defRPr>
            </a:pPr>
            <a:endParaRPr lang="en-US"/>
          </a:p>
        </c:txPr>
        <c:crossAx val="528996015"/>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1" i="0" u="none" strike="noStrike" kern="1200" baseline="0">
              <a:solidFill>
                <a:schemeClr val="lt1">
                  <a:lumMod val="75000"/>
                </a:schemeClr>
              </a:solidFill>
              <a:latin typeface="+mn-lt"/>
              <a:ea typeface="+mn-ea"/>
              <a:cs typeface="+mn-cs"/>
            </a:defRPr>
          </a:pPr>
          <a:endParaRPr lang="en-US"/>
        </a:p>
      </c:txPr>
    </c:legend>
    <c:plotVisOnly val="1"/>
    <c:dispBlanksAs val="gap"/>
    <c:showDLblsOverMax val="0"/>
  </c:chart>
  <c:spPr>
    <a:solidFill>
      <a:schemeClr val="dk1">
        <a:lumMod val="75000"/>
        <a:lumOff val="25000"/>
      </a:schemeClr>
    </a:solidFill>
    <a:ln w="9525" cap="flat" cmpd="sng" algn="ctr">
      <a:solidFill>
        <a:schemeClr val="dk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solidFill>
                <a:latin typeface="+mj-lt"/>
                <a:ea typeface="+mn-ea"/>
                <a:cs typeface="+mn-cs"/>
              </a:defRPr>
            </a:pPr>
            <a:r>
              <a:rPr lang="en-US">
                <a:latin typeface="+mj-lt"/>
              </a:rPr>
              <a:t>Income and expenses by month</a:t>
            </a:r>
          </a:p>
        </c:rich>
      </c:tx>
      <c:layout>
        <c:manualLayout>
          <c:xMode val="edge"/>
          <c:yMode val="edge"/>
          <c:x val="0.36195678665166853"/>
          <c:y val="0.02"/>
        </c:manualLayout>
      </c:layout>
      <c:overlay val="0"/>
      <c:spPr>
        <a:noFill/>
        <a:ln>
          <a:noFill/>
        </a:ln>
        <a:effectLst/>
      </c:spPr>
      <c:txPr>
        <a:bodyPr rot="0" spcFirstLastPara="1" vertOverflow="ellipsis" vert="horz" wrap="square" anchor="ctr" anchorCtr="1"/>
        <a:lstStyle/>
        <a:p>
          <a:pPr>
            <a:defRPr sz="1400" b="1" i="0" u="none" strike="noStrike" kern="1200" spc="0" baseline="0">
              <a:solidFill>
                <a:schemeClr val="tx1"/>
              </a:solidFill>
              <a:latin typeface="+mj-lt"/>
              <a:ea typeface="+mn-ea"/>
              <a:cs typeface="+mn-cs"/>
            </a:defRPr>
          </a:pPr>
          <a:endParaRPr lang="en-US"/>
        </a:p>
      </c:txPr>
    </c:title>
    <c:autoTitleDeleted val="0"/>
    <c:plotArea>
      <c:layout/>
      <c:barChart>
        <c:barDir val="col"/>
        <c:grouping val="clustered"/>
        <c:varyColors val="0"/>
        <c:ser>
          <c:idx val="0"/>
          <c:order val="0"/>
          <c:tx>
            <c:strRef>
              <c:f>'Annual Budget'!$B$11</c:f>
              <c:strCache>
                <c:ptCount val="1"/>
                <c:pt idx="0">
                  <c:v>INCOME</c:v>
                </c:pt>
              </c:strCache>
            </c:strRef>
          </c:tx>
          <c:spPr>
            <a:solidFill>
              <a:schemeClr val="accent1"/>
            </a:solidFill>
            <a:ln>
              <a:noFill/>
            </a:ln>
            <a:effectLst/>
          </c:spPr>
          <c:invertIfNegative val="0"/>
          <c:dLbls>
            <c:numFmt formatCode="&quot;$&quot;#,##0" sourceLinked="0"/>
            <c:spPr>
              <a:noFill/>
              <a:ln>
                <a:noFill/>
              </a:ln>
              <a:effectLst/>
            </c:spPr>
            <c:txPr>
              <a:bodyPr rot="0" spcFirstLastPara="1" vertOverflow="ellipsis" vert="horz" wrap="square" anchor="ctr" anchorCtr="1"/>
              <a:lstStyle/>
              <a:p>
                <a:pPr>
                  <a:defRPr sz="900" b="1" i="0" u="none" strike="noStrike" kern="1200" baseline="0">
                    <a:solidFill>
                      <a:schemeClr val="tx1"/>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'Annual Budget'!$C$12:$M$12</c:f>
              <c:strCache>
                <c:ptCount val="11"/>
                <c:pt idx="0">
                  <c:v>Jan</c:v>
                </c:pt>
                <c:pt idx="1">
                  <c:v>Feb</c:v>
                </c:pt>
                <c:pt idx="2">
                  <c:v>Mar</c:v>
                </c:pt>
                <c:pt idx="3">
                  <c:v>Apr</c:v>
                </c:pt>
                <c:pt idx="4">
                  <c:v>May</c:v>
                </c:pt>
                <c:pt idx="5">
                  <c:v>Jun</c:v>
                </c:pt>
                <c:pt idx="6">
                  <c:v>Jul</c:v>
                </c:pt>
                <c:pt idx="7">
                  <c:v>Aug</c:v>
                </c:pt>
                <c:pt idx="8">
                  <c:v>Sep</c:v>
                </c:pt>
                <c:pt idx="9">
                  <c:v>Oct</c:v>
                </c:pt>
                <c:pt idx="10">
                  <c:v>Nov</c:v>
                </c:pt>
              </c:strCache>
            </c:strRef>
          </c:cat>
          <c:val>
            <c:numRef>
              <c:f>'Annual Budget'!$C$17:$M$17</c:f>
              <c:numCache>
                <c:formatCode>"$"#,##0</c:formatCode>
                <c:ptCount val="11"/>
                <c:pt idx="0">
                  <c:v>7500</c:v>
                </c:pt>
                <c:pt idx="1">
                  <c:v>7500</c:v>
                </c:pt>
                <c:pt idx="2">
                  <c:v>7500</c:v>
                </c:pt>
                <c:pt idx="3">
                  <c:v>7500</c:v>
                </c:pt>
                <c:pt idx="4">
                  <c:v>7500</c:v>
                </c:pt>
                <c:pt idx="5">
                  <c:v>7500</c:v>
                </c:pt>
                <c:pt idx="6">
                  <c:v>7500</c:v>
                </c:pt>
                <c:pt idx="7">
                  <c:v>7500</c:v>
                </c:pt>
                <c:pt idx="8">
                  <c:v>7500</c:v>
                </c:pt>
                <c:pt idx="9">
                  <c:v>7500</c:v>
                </c:pt>
                <c:pt idx="10">
                  <c:v>7500</c:v>
                </c:pt>
              </c:numCache>
            </c:numRef>
          </c:val>
          <c:extLst>
            <c:ext xmlns:c16="http://schemas.microsoft.com/office/drawing/2014/chart" uri="{C3380CC4-5D6E-409C-BE32-E72D297353CC}">
              <c16:uniqueId val="{00000000-F27F-4407-8335-326EC98DD846}"/>
            </c:ext>
          </c:extLst>
        </c:ser>
        <c:ser>
          <c:idx val="1"/>
          <c:order val="1"/>
          <c:tx>
            <c:strRef>
              <c:f>'Annual Budget'!$B$19</c:f>
              <c:strCache>
                <c:ptCount val="1"/>
                <c:pt idx="0">
                  <c:v>EXPENSES</c:v>
                </c:pt>
              </c:strCache>
            </c:strRef>
          </c:tx>
          <c:spPr>
            <a:solidFill>
              <a:schemeClr val="tx2">
                <a:lumMod val="20000"/>
                <a:lumOff val="80000"/>
              </a:schemeClr>
            </a:solidFill>
            <a:ln>
              <a:noFill/>
            </a:ln>
            <a:effectLst/>
          </c:spPr>
          <c:invertIfNegative val="0"/>
          <c:dLbls>
            <c:numFmt formatCode="&quot;$&quot;#,##0" sourceLinked="0"/>
            <c:spPr>
              <a:noFill/>
              <a:ln>
                <a:noFill/>
              </a:ln>
              <a:effectLst/>
            </c:spPr>
            <c:txPr>
              <a:bodyPr rot="0" spcFirstLastPara="1" vertOverflow="ellipsis" vert="horz" wrap="square" anchor="ctr" anchorCtr="1"/>
              <a:lstStyle/>
              <a:p>
                <a:pPr>
                  <a:defRPr sz="900" b="1" i="0" u="none" strike="noStrike" kern="1200" baseline="0">
                    <a:solidFill>
                      <a:schemeClr val="tx1"/>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'Annual Budget'!$C$12:$M$12</c:f>
              <c:strCache>
                <c:ptCount val="11"/>
                <c:pt idx="0">
                  <c:v>Jan</c:v>
                </c:pt>
                <c:pt idx="1">
                  <c:v>Feb</c:v>
                </c:pt>
                <c:pt idx="2">
                  <c:v>Mar</c:v>
                </c:pt>
                <c:pt idx="3">
                  <c:v>Apr</c:v>
                </c:pt>
                <c:pt idx="4">
                  <c:v>May</c:v>
                </c:pt>
                <c:pt idx="5">
                  <c:v>Jun</c:v>
                </c:pt>
                <c:pt idx="6">
                  <c:v>Jul</c:v>
                </c:pt>
                <c:pt idx="7">
                  <c:v>Aug</c:v>
                </c:pt>
                <c:pt idx="8">
                  <c:v>Sep</c:v>
                </c:pt>
                <c:pt idx="9">
                  <c:v>Oct</c:v>
                </c:pt>
                <c:pt idx="10">
                  <c:v>Nov</c:v>
                </c:pt>
              </c:strCache>
            </c:strRef>
          </c:cat>
          <c:val>
            <c:numRef>
              <c:f>'Annual Budget'!$C$34:$M$34</c:f>
              <c:numCache>
                <c:formatCode>"$"#,##0</c:formatCode>
                <c:ptCount val="11"/>
                <c:pt idx="0">
                  <c:v>5399</c:v>
                </c:pt>
                <c:pt idx="1">
                  <c:v>5399</c:v>
                </c:pt>
                <c:pt idx="2">
                  <c:v>5399</c:v>
                </c:pt>
                <c:pt idx="3">
                  <c:v>5399</c:v>
                </c:pt>
                <c:pt idx="4">
                  <c:v>5399</c:v>
                </c:pt>
                <c:pt idx="5">
                  <c:v>5399</c:v>
                </c:pt>
                <c:pt idx="6">
                  <c:v>5399</c:v>
                </c:pt>
                <c:pt idx="7">
                  <c:v>5399</c:v>
                </c:pt>
                <c:pt idx="8">
                  <c:v>5399</c:v>
                </c:pt>
                <c:pt idx="9">
                  <c:v>5399</c:v>
                </c:pt>
                <c:pt idx="10">
                  <c:v>5399</c:v>
                </c:pt>
              </c:numCache>
            </c:numRef>
          </c:val>
          <c:extLst>
            <c:ext xmlns:c16="http://schemas.microsoft.com/office/drawing/2014/chart" uri="{C3380CC4-5D6E-409C-BE32-E72D297353CC}">
              <c16:uniqueId val="{00000001-F27F-4407-8335-326EC98DD846}"/>
            </c:ext>
          </c:extLst>
        </c:ser>
        <c:dLbls>
          <c:dLblPos val="outEnd"/>
          <c:showLegendKey val="0"/>
          <c:showVal val="1"/>
          <c:showCatName val="0"/>
          <c:showSerName val="0"/>
          <c:showPercent val="0"/>
          <c:showBubbleSize val="0"/>
        </c:dLbls>
        <c:gapWidth val="100"/>
        <c:overlap val="-15"/>
        <c:axId val="1124757727"/>
        <c:axId val="1132187055"/>
      </c:barChart>
      <c:catAx>
        <c:axId val="112475772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chemeClr val="tx1"/>
                </a:solidFill>
                <a:latin typeface="+mn-lt"/>
                <a:ea typeface="+mn-ea"/>
                <a:cs typeface="+mn-cs"/>
              </a:defRPr>
            </a:pPr>
            <a:endParaRPr lang="en-US"/>
          </a:p>
        </c:txPr>
        <c:crossAx val="1132187055"/>
        <c:crosses val="autoZero"/>
        <c:auto val="1"/>
        <c:lblAlgn val="ctr"/>
        <c:lblOffset val="100"/>
        <c:noMultiLvlLbl val="0"/>
      </c:catAx>
      <c:valAx>
        <c:axId val="1132187055"/>
        <c:scaling>
          <c:orientation val="minMax"/>
        </c:scaling>
        <c:delete val="0"/>
        <c:axPos val="l"/>
        <c:majorGridlines>
          <c:spPr>
            <a:ln w="9525" cap="flat" cmpd="sng" algn="ctr">
              <a:solidFill>
                <a:schemeClr val="bg1">
                  <a:lumMod val="95000"/>
                </a:schemeClr>
              </a:solidFill>
              <a:round/>
            </a:ln>
            <a:effectLst/>
          </c:spPr>
        </c:majorGridlines>
        <c:numFmt formatCode="&quot;$&quot;#,##0" sourceLinked="1"/>
        <c:majorTickMark val="none"/>
        <c:minorTickMark val="none"/>
        <c:tickLblPos val="nextTo"/>
        <c:spPr>
          <a:noFill/>
          <a:ln>
            <a:noFill/>
          </a:ln>
          <a:effectLst/>
        </c:spPr>
        <c:txPr>
          <a:bodyPr rot="-60000000" spcFirstLastPara="1" vertOverflow="ellipsis" vert="horz" wrap="square" anchor="ctr" anchorCtr="1"/>
          <a:lstStyle/>
          <a:p>
            <a:pPr>
              <a:defRPr sz="900" b="1" i="0" u="none" strike="noStrike" kern="1200" baseline="0">
                <a:solidFill>
                  <a:schemeClr val="tx1"/>
                </a:solidFill>
                <a:latin typeface="+mn-lt"/>
                <a:ea typeface="+mn-ea"/>
                <a:cs typeface="+mn-cs"/>
              </a:defRPr>
            </a:pPr>
            <a:endParaRPr lang="en-US"/>
          </a:p>
        </c:txPr>
        <c:crossAx val="112475772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1" i="0" u="none" strike="noStrike" kern="1200" baseline="0">
              <a:solidFill>
                <a:schemeClr val="tx1"/>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b="1">
          <a:solidFill>
            <a:schemeClr val="tx1"/>
          </a:solidFill>
          <a:latin typeface="+mn-lt"/>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200" b="1" i="0" u="none" strike="noStrike" kern="1200" spc="0" baseline="0">
                <a:solidFill>
                  <a:schemeClr val="tx1"/>
                </a:solidFill>
                <a:latin typeface="+mj-lt"/>
                <a:ea typeface="+mn-ea"/>
                <a:cs typeface="+mn-cs"/>
              </a:defRPr>
            </a:pPr>
            <a:r>
              <a:rPr lang="en-US">
                <a:latin typeface="+mj-lt"/>
              </a:rPr>
              <a:t>Total expenses</a:t>
            </a:r>
          </a:p>
        </c:rich>
      </c:tx>
      <c:overlay val="0"/>
      <c:spPr>
        <a:noFill/>
        <a:ln>
          <a:noFill/>
        </a:ln>
        <a:effectLst/>
      </c:spPr>
      <c:txPr>
        <a:bodyPr rot="0" spcFirstLastPara="1" vertOverflow="ellipsis" vert="horz" wrap="square" anchor="ctr" anchorCtr="1"/>
        <a:lstStyle/>
        <a:p>
          <a:pPr>
            <a:defRPr lang="en-US" sz="1200" b="1" i="0" u="none" strike="noStrike" kern="1200" spc="0" baseline="0">
              <a:solidFill>
                <a:schemeClr val="tx1"/>
              </a:solidFill>
              <a:latin typeface="+mj-lt"/>
              <a:ea typeface="+mn-ea"/>
              <a:cs typeface="+mn-cs"/>
            </a:defRPr>
          </a:pPr>
          <a:endParaRPr lang="en-US"/>
        </a:p>
      </c:txPr>
    </c:title>
    <c:autoTitleDeleted val="0"/>
    <c:plotArea>
      <c:layout/>
      <c:barChart>
        <c:barDir val="col"/>
        <c:grouping val="clustered"/>
        <c:varyColors val="0"/>
        <c:ser>
          <c:idx val="0"/>
          <c:order val="0"/>
          <c:tx>
            <c:strRef>
              <c:f>'Annual Budget'!$O$20</c:f>
              <c:strCache>
                <c:ptCount val="1"/>
                <c:pt idx="0">
                  <c:v>Total</c:v>
                </c:pt>
              </c:strCache>
            </c:strRef>
          </c:tx>
          <c:spPr>
            <a:solidFill>
              <a:schemeClr val="tx2">
                <a:lumMod val="20000"/>
                <a:lumOff val="80000"/>
              </a:schemeClr>
            </a:solidFill>
            <a:ln>
              <a:noFill/>
            </a:ln>
            <a:effectLst/>
          </c:spPr>
          <c:invertIfNegative val="0"/>
          <c:dLbls>
            <c:spPr>
              <a:noFill/>
              <a:ln>
                <a:noFill/>
              </a:ln>
              <a:effectLst/>
            </c:spPr>
            <c:txPr>
              <a:bodyPr rot="0" spcFirstLastPara="1" vertOverflow="ellipsis" vert="horz" wrap="square" anchor="ctr" anchorCtr="1"/>
              <a:lstStyle/>
              <a:p>
                <a:pPr>
                  <a:defRPr lang="en-US" sz="1000" b="1" i="0" u="none" strike="noStrike" kern="1200" baseline="0">
                    <a:solidFill>
                      <a:schemeClr val="tx1"/>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'Annual Budget'!$B$21:$B$34</c:f>
              <c:strCache>
                <c:ptCount val="13"/>
                <c:pt idx="0">
                  <c:v>Housing</c:v>
                </c:pt>
                <c:pt idx="1">
                  <c:v>Transportation</c:v>
                </c:pt>
                <c:pt idx="2">
                  <c:v>Insurance</c:v>
                </c:pt>
                <c:pt idx="3">
                  <c:v>Food</c:v>
                </c:pt>
                <c:pt idx="4">
                  <c:v>Pets</c:v>
                </c:pt>
                <c:pt idx="5">
                  <c:v>Personal Care</c:v>
                </c:pt>
                <c:pt idx="6">
                  <c:v>Entertainment</c:v>
                </c:pt>
                <c:pt idx="7">
                  <c:v>Loan</c:v>
                </c:pt>
                <c:pt idx="8">
                  <c:v>Taxes</c:v>
                </c:pt>
                <c:pt idx="9">
                  <c:v>Saving or Investment </c:v>
                </c:pt>
                <c:pt idx="10">
                  <c:v>Gifts or Donation </c:v>
                </c:pt>
                <c:pt idx="11">
                  <c:v>Legal</c:v>
                </c:pt>
                <c:pt idx="12">
                  <c:v>Other</c:v>
                </c:pt>
              </c:strCache>
            </c:strRef>
          </c:cat>
          <c:val>
            <c:numRef>
              <c:f>'Annual Budget'!$O$21:$O$34</c:f>
              <c:numCache>
                <c:formatCode>"$"#,##0</c:formatCode>
                <c:ptCount val="13"/>
                <c:pt idx="0">
                  <c:v>14832</c:v>
                </c:pt>
                <c:pt idx="1">
                  <c:v>16320</c:v>
                </c:pt>
                <c:pt idx="2">
                  <c:v>5184</c:v>
                </c:pt>
                <c:pt idx="3">
                  <c:v>9912</c:v>
                </c:pt>
                <c:pt idx="4">
                  <c:v>0</c:v>
                </c:pt>
                <c:pt idx="5">
                  <c:v>4920</c:v>
                </c:pt>
                <c:pt idx="6">
                  <c:v>1620</c:v>
                </c:pt>
                <c:pt idx="7">
                  <c:v>7200</c:v>
                </c:pt>
                <c:pt idx="8">
                  <c:v>2400</c:v>
                </c:pt>
                <c:pt idx="9">
                  <c:v>2400</c:v>
                </c:pt>
                <c:pt idx="10">
                  <c:v>0</c:v>
                </c:pt>
                <c:pt idx="11">
                  <c:v>0</c:v>
                </c:pt>
                <c:pt idx="12">
                  <c:v>0</c:v>
                </c:pt>
              </c:numCache>
            </c:numRef>
          </c:val>
          <c:extLst>
            <c:ext xmlns:c16="http://schemas.microsoft.com/office/drawing/2014/chart" uri="{C3380CC4-5D6E-409C-BE32-E72D297353CC}">
              <c16:uniqueId val="{00000000-44CC-430C-9103-5359D9868143}"/>
            </c:ext>
          </c:extLst>
        </c:ser>
        <c:dLbls>
          <c:showLegendKey val="0"/>
          <c:showVal val="0"/>
          <c:showCatName val="0"/>
          <c:showSerName val="0"/>
          <c:showPercent val="0"/>
          <c:showBubbleSize val="0"/>
        </c:dLbls>
        <c:gapWidth val="78"/>
        <c:axId val="1081865903"/>
        <c:axId val="1109733487"/>
      </c:barChart>
      <c:catAx>
        <c:axId val="108186590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lang="en-US" sz="1000" b="1" i="0" u="none" strike="noStrike" kern="1200" baseline="0">
                <a:solidFill>
                  <a:schemeClr val="tx1"/>
                </a:solidFill>
                <a:latin typeface="+mn-lt"/>
                <a:ea typeface="+mn-ea"/>
                <a:cs typeface="+mn-cs"/>
              </a:defRPr>
            </a:pPr>
            <a:endParaRPr lang="en-US"/>
          </a:p>
        </c:txPr>
        <c:crossAx val="1109733487"/>
        <c:crosses val="autoZero"/>
        <c:auto val="1"/>
        <c:lblAlgn val="ctr"/>
        <c:lblOffset val="100"/>
        <c:noMultiLvlLbl val="0"/>
      </c:catAx>
      <c:valAx>
        <c:axId val="1109733487"/>
        <c:scaling>
          <c:orientation val="minMax"/>
        </c:scaling>
        <c:delete val="0"/>
        <c:axPos val="l"/>
        <c:majorGridlines>
          <c:spPr>
            <a:ln w="9525" cap="flat" cmpd="sng" algn="ctr">
              <a:solidFill>
                <a:schemeClr val="tx1">
                  <a:lumMod val="15000"/>
                  <a:lumOff val="85000"/>
                </a:schemeClr>
              </a:solidFill>
              <a:round/>
            </a:ln>
            <a:effectLst/>
          </c:spPr>
        </c:majorGridlines>
        <c:numFmt formatCode="&quot;$&quot;#,##0" sourceLinked="1"/>
        <c:majorTickMark val="none"/>
        <c:minorTickMark val="none"/>
        <c:tickLblPos val="nextTo"/>
        <c:spPr>
          <a:noFill/>
          <a:ln>
            <a:noFill/>
          </a:ln>
          <a:effectLst/>
        </c:spPr>
        <c:txPr>
          <a:bodyPr rot="-60000000" spcFirstLastPara="1" vertOverflow="ellipsis" vert="horz" wrap="square" anchor="ctr" anchorCtr="1"/>
          <a:lstStyle/>
          <a:p>
            <a:pPr>
              <a:defRPr lang="en-US" sz="1000" b="1" i="0" u="none" strike="noStrike" kern="1200" baseline="0">
                <a:solidFill>
                  <a:schemeClr val="tx1"/>
                </a:solidFill>
                <a:latin typeface="+mn-lt"/>
                <a:ea typeface="+mn-ea"/>
                <a:cs typeface="+mn-cs"/>
              </a:defRPr>
            </a:pPr>
            <a:endParaRPr lang="en-US"/>
          </a:p>
        </c:txPr>
        <c:crossAx val="1081865903"/>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lang="en-US" sz="1000" b="1" i="0" u="none" strike="noStrike" kern="1200" baseline="0">
          <a:solidFill>
            <a:schemeClr val="tx1"/>
          </a:solidFill>
          <a:latin typeface="+mn-lt"/>
          <a:ea typeface="+mn-ea"/>
          <a:cs typeface="+mn-cs"/>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v>ChartData</c:v>
          </c:tx>
          <c:spPr>
            <a:gradFill rotWithShape="1">
              <a:gsLst>
                <a:gs pos="0">
                  <a:schemeClr val="accent1">
                    <a:tint val="97000"/>
                    <a:satMod val="100000"/>
                    <a:lumMod val="110000"/>
                  </a:schemeClr>
                </a:gs>
                <a:gs pos="100000">
                  <a:schemeClr val="accent1">
                    <a:shade val="85000"/>
                    <a:lumMod val="80000"/>
                  </a:schemeClr>
                </a:gs>
              </a:gsLst>
              <a:lin ang="5400000" scaled="0"/>
            </a:gradFill>
            <a:ln>
              <a:noFill/>
            </a:ln>
            <a:effectLst>
              <a:outerShdw blurRad="88900" dist="38100" dir="5400000" algn="ctr" rotWithShape="0">
                <a:srgbClr val="000000">
                  <a:alpha val="65000"/>
                </a:srgbClr>
              </a:outerShdw>
            </a:effectLst>
            <a:scene3d>
              <a:camera prst="orthographicFront">
                <a:rot lat="0" lon="0" rev="0"/>
              </a:camera>
              <a:lightRig rig="threePt" dir="tl">
                <a:rot lat="0" lon="0" rev="5400000"/>
              </a:lightRig>
            </a:scene3d>
            <a:sp3d>
              <a:bevelT w="25400" h="38100"/>
            </a:sp3d>
          </c:spPr>
          <c:invertIfNegative val="0"/>
          <c:dPt>
            <c:idx val="0"/>
            <c:invertIfNegative val="0"/>
            <c:bubble3D val="0"/>
            <c:spPr>
              <a:solidFill>
                <a:srgbClr val="0070C0"/>
              </a:solidFill>
              <a:ln>
                <a:noFill/>
              </a:ln>
              <a:effectLst>
                <a:outerShdw blurRad="88900" dist="38100" dir="5400000" algn="ctr" rotWithShape="0">
                  <a:srgbClr val="000000">
                    <a:alpha val="65000"/>
                  </a:srgbClr>
                </a:outerShdw>
              </a:effectLst>
              <a:scene3d>
                <a:camera prst="orthographicFront">
                  <a:rot lat="0" lon="0" rev="0"/>
                </a:camera>
                <a:lightRig rig="threePt" dir="tl">
                  <a:rot lat="0" lon="0" rev="5400000"/>
                </a:lightRig>
              </a:scene3d>
              <a:sp3d>
                <a:bevelT w="25400" h="38100"/>
              </a:sp3d>
            </c:spPr>
            <c:extLst>
              <c:ext xmlns:c16="http://schemas.microsoft.com/office/drawing/2014/chart" uri="{C3380CC4-5D6E-409C-BE32-E72D297353CC}">
                <c16:uniqueId val="{00000001-B526-4B28-ACBD-0A1299E32D96}"/>
              </c:ext>
            </c:extLst>
          </c:dPt>
          <c:dPt>
            <c:idx val="1"/>
            <c:invertIfNegative val="0"/>
            <c:bubble3D val="0"/>
            <c:spPr>
              <a:gradFill rotWithShape="1">
                <a:gsLst>
                  <a:gs pos="0">
                    <a:schemeClr val="accent1">
                      <a:tint val="97000"/>
                      <a:satMod val="100000"/>
                      <a:lumMod val="110000"/>
                    </a:schemeClr>
                  </a:gs>
                  <a:gs pos="100000">
                    <a:schemeClr val="accent1">
                      <a:shade val="85000"/>
                      <a:lumMod val="80000"/>
                    </a:schemeClr>
                  </a:gs>
                </a:gsLst>
                <a:lin ang="5400000" scaled="0"/>
              </a:gradFill>
              <a:ln>
                <a:noFill/>
              </a:ln>
              <a:effectLst>
                <a:outerShdw blurRad="88900" dist="38100" dir="5400000" algn="ctr" rotWithShape="0">
                  <a:srgbClr val="000000">
                    <a:alpha val="65000"/>
                  </a:srgbClr>
                </a:outerShdw>
              </a:effectLst>
              <a:scene3d>
                <a:camera prst="orthographicFront">
                  <a:rot lat="0" lon="0" rev="0"/>
                </a:camera>
                <a:lightRig rig="threePt" dir="tl">
                  <a:rot lat="0" lon="0" rev="5400000"/>
                </a:lightRig>
              </a:scene3d>
              <a:sp3d>
                <a:bevelT w="25400" h="38100"/>
              </a:sp3d>
            </c:spPr>
            <c:extLst>
              <c:ext xmlns:c16="http://schemas.microsoft.com/office/drawing/2014/chart" uri="{C3380CC4-5D6E-409C-BE32-E72D297353CC}">
                <c16:uniqueId val="{00000003-B526-4B28-ACBD-0A1299E32D96}"/>
              </c:ext>
            </c:extLst>
          </c:dPt>
          <c:dLbls>
            <c:numFmt formatCode="&quot;$&quot;#,##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Lit>
              <c:ptCount val="2"/>
              <c:pt idx="0">
                <c:v>Income</c:v>
              </c:pt>
              <c:pt idx="1">
                <c:v>Expenses</c:v>
              </c:pt>
            </c:strLit>
          </c:cat>
          <c:val>
            <c:numRef>
              <c:f>'Annual Budget'!$C$4:$C$5</c:f>
              <c:numCache>
                <c:formatCode>"$"#,##0</c:formatCode>
                <c:ptCount val="2"/>
                <c:pt idx="0">
                  <c:v>90000</c:v>
                </c:pt>
                <c:pt idx="1">
                  <c:v>64788</c:v>
                </c:pt>
              </c:numCache>
            </c:numRef>
          </c:val>
          <c:extLst>
            <c:ext xmlns:c16="http://schemas.microsoft.com/office/drawing/2014/chart" uri="{C3380CC4-5D6E-409C-BE32-E72D297353CC}">
              <c16:uniqueId val="{00000004-B526-4B28-ACBD-0A1299E32D96}"/>
            </c:ext>
          </c:extLst>
        </c:ser>
        <c:dLbls>
          <c:dLblPos val="outEnd"/>
          <c:showLegendKey val="0"/>
          <c:showVal val="1"/>
          <c:showCatName val="0"/>
          <c:showSerName val="0"/>
          <c:showPercent val="0"/>
          <c:showBubbleSize val="0"/>
        </c:dLbls>
        <c:gapWidth val="100"/>
        <c:overlap val="-24"/>
        <c:axId val="539195768"/>
        <c:axId val="539196160"/>
      </c:barChart>
      <c:catAx>
        <c:axId val="539195768"/>
        <c:scaling>
          <c:orientation val="minMax"/>
        </c:scaling>
        <c:delete val="0"/>
        <c:axPos val="b"/>
        <c:numFmt formatCode="General" sourceLinked="0"/>
        <c:majorTickMark val="none"/>
        <c:minorTickMark val="none"/>
        <c:tickLblPos val="nextTo"/>
        <c:spPr>
          <a:noFill/>
          <a:ln w="12700" cap="flat" cmpd="sng" algn="ctr">
            <a:solidFill>
              <a:schemeClr val="lt1">
                <a:lumMod val="95000"/>
                <a:alpha val="54000"/>
              </a:schemeClr>
            </a:solidFill>
            <a:round/>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crossAx val="539196160"/>
        <c:crosses val="autoZero"/>
        <c:auto val="1"/>
        <c:lblAlgn val="ctr"/>
        <c:lblOffset val="80"/>
        <c:noMultiLvlLbl val="0"/>
      </c:catAx>
      <c:valAx>
        <c:axId val="539196160"/>
        <c:scaling>
          <c:orientation val="minMax"/>
          <c:min val="0"/>
        </c:scaling>
        <c:delete val="0"/>
        <c:axPos val="l"/>
        <c:majorGridlines>
          <c:spPr>
            <a:ln w="9525" cap="flat" cmpd="sng" algn="ctr">
              <a:solidFill>
                <a:schemeClr val="lt1">
                  <a:lumMod val="95000"/>
                  <a:alpha val="10000"/>
                </a:schemeClr>
              </a:solidFill>
              <a:round/>
            </a:ln>
            <a:effectLst/>
          </c:spPr>
        </c:majorGridlines>
        <c:numFmt formatCode="&quot;$&quot;#,##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crossAx val="539195768"/>
        <c:crosses val="autoZero"/>
        <c:crossBetween val="between"/>
        <c:minorUnit val="500"/>
      </c:valAx>
      <c:spPr>
        <a:noFill/>
        <a:ln>
          <a:noFill/>
        </a:ln>
        <a:effectLst/>
      </c:spPr>
    </c:plotArea>
    <c:plotVisOnly val="1"/>
    <c:dispBlanksAs val="gap"/>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9">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cs:styleClr val="auto"/>
    </cs:fontRef>
    <cs:defRPr sz="1000" b="1" i="0" u="none" strike="noStrike" kern="1200" spc="0" baseline="0"/>
  </cs:dataLabel>
  <cs:dataLabelCallout>
    <cs:lnRef idx="0">
      <cs:styleClr val="auto"/>
    </cs:lnRef>
    <cs:fillRef idx="0"/>
    <cs:effectRef idx="0"/>
    <cs:fontRef idx="minor">
      <cs:styleClr val="auto"/>
    </cs:fontRef>
    <cs:spPr>
      <a:solidFill>
        <a:schemeClr val="lt1"/>
      </a:solidFill>
      <a:ln>
        <a:solidFill>
          <a:schemeClr val="phClr"/>
        </a:solidFill>
      </a:ln>
    </cs:spPr>
    <cs:defRPr sz="10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635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88900" sx="102000" sy="102000" algn="ctr" rotWithShape="0">
          <a:prstClr val="black">
            <a:alpha val="10000"/>
          </a:prstClr>
        </a:outerShdw>
      </a:effectLst>
      <a:scene3d>
        <a:camera prst="orthographicFront"/>
        <a:lightRig rig="threePt" dir="t"/>
      </a:scene3d>
      <a:sp3d>
        <a:bevelT w="127000" h="127000"/>
        <a:bevelB w="127000" h="127000"/>
      </a:sp3d>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baseline="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3">
  <cs:axisTitle>
    <cs:lnRef idx="0"/>
    <cs:fillRef idx="0"/>
    <cs:effectRef idx="0"/>
    <cs:fontRef idx="minor">
      <a:schemeClr val="lt1">
        <a:lumMod val="75000"/>
      </a:schemeClr>
    </cs:fontRef>
    <cs:defRPr sz="900" b="1" kern="1200"/>
  </cs:axisTitle>
  <cs:categoryAxis>
    <cs:lnRef idx="0"/>
    <cs:fillRef idx="0"/>
    <cs:effectRef idx="0"/>
    <cs:fontRef idx="minor">
      <a:schemeClr val="lt1">
        <a:lumMod val="75000"/>
      </a:schemeClr>
    </cs:fontRef>
    <cs:defRPr sz="900" kern="1200"/>
  </cs:categoryAxis>
  <cs:chartArea>
    <cs:lnRef idx="0"/>
    <cs:fillRef idx="0"/>
    <cs:effectRef idx="0"/>
    <cs:fontRef idx="minor">
      <a:schemeClr val="dk1"/>
    </cs:fontRef>
    <cs:spPr>
      <a:solidFill>
        <a:schemeClr val="dk1">
          <a:lumMod val="75000"/>
          <a:lumOff val="25000"/>
        </a:schemeClr>
      </a:solidFill>
      <a:ln w="9525" cap="flat" cmpd="sng" algn="ctr">
        <a:solidFill>
          <a:schemeClr val="dk1">
            <a:lumMod val="15000"/>
            <a:lumOff val="85000"/>
          </a:schemeClr>
        </a:solidFill>
        <a:round/>
      </a:ln>
    </cs:spPr>
    <cs:defRPr sz="900" kern="1200"/>
  </cs:chartArea>
  <cs:dataLabel>
    <cs:lnRef idx="0"/>
    <cs:fillRef idx="0"/>
    <cs:effectRef idx="0"/>
    <cs:fontRef idx="minor">
      <a:schemeClr val="lt1">
        <a:lumMod val="75000"/>
      </a:schemeClr>
    </cs:fontRef>
    <cs:defRPr sz="900" kern="1200"/>
  </cs:dataLabel>
  <cs:dataLabelCallout>
    <cs:lnRef idx="0"/>
    <cs:fillRef idx="0"/>
    <cs:effectRef idx="0"/>
    <cs:fontRef idx="minor">
      <a:schemeClr val="lt1">
        <a:lumMod val="15000"/>
        <a:lumOff val="85000"/>
      </a:schemeClr>
    </cs:fontRef>
    <cs:spPr>
      <a:solidFill>
        <a:schemeClr val="dk1">
          <a:lumMod val="65000"/>
          <a:lumOff val="35000"/>
        </a:schemeClr>
      </a:solidFill>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0"/>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
  <cs:dataPoint3D>
    <cs:lnRef idx="0">
      <cs:styleClr val="auto"/>
    </cs:lnRef>
    <cs:fillRef idx="0">
      <cs:styleClr val="auto"/>
    </cs:fillRef>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3D>
  <cs:dataPointLine>
    <cs:lnRef idx="0">
      <cs:styleClr val="auto"/>
    </cs:lnRef>
    <cs:fillRef idx="0">
      <cs:styleClr val="auto"/>
    </cs:fillRef>
    <cs:effectRef idx="0">
      <cs:styleClr val="auto"/>
    </cs:effectRef>
    <cs:fontRef idx="minor">
      <a:schemeClr val="dk1"/>
    </cs:fontRef>
    <cs:spPr>
      <a:ln w="22225" cap="rnd">
        <a:solidFill>
          <a:schemeClr val="phClr"/>
        </a:solidFill>
      </a:ln>
      <a:effectLst>
        <a:glow rad="139700">
          <a:schemeClr val="phClr">
            <a:satMod val="175000"/>
            <a:alpha val="14000"/>
          </a:schemeClr>
        </a:glow>
      </a:effectLst>
    </cs:spPr>
  </cs:dataPointLine>
  <cs:dataPointMarker>
    <cs:lnRef idx="0">
      <cs:styleClr val="auto"/>
    </cs:lnRef>
    <cs:fillRef idx="0">
      <cs:styleClr val="auto"/>
    </cs:fillRef>
    <cs:effectRef idx="0">
      <cs:styleClr val="auto"/>
    </cs:effectRef>
    <cs:fontRef idx="minor">
      <a:schemeClr val="dk1"/>
    </cs:fontRef>
    <cs:spPr>
      <a:solidFill>
        <a:schemeClr val="phClr">
          <a:lumMod val="60000"/>
          <a:lumOff val="40000"/>
        </a:schemeClr>
      </a:solidFill>
      <a:effectLst>
        <a:glow rad="63500">
          <a:schemeClr val="phClr">
            <a:satMod val="175000"/>
            <a:alpha val="25000"/>
          </a:schemeClr>
        </a:glow>
      </a:effectLst>
    </cs:spPr>
  </cs:dataPointMarker>
  <cs:dataPointMarkerLayout symbol="circle" size="4"/>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lt1">
        <a:lumMod val="75000"/>
      </a:schemeClr>
    </cs:fontRef>
    <cs:spPr>
      <a:ln w="9525">
        <a:solidFill>
          <a:schemeClr val="dk1">
            <a:lumMod val="50000"/>
            <a:lumOff val="50000"/>
          </a:schemeClr>
        </a:solidFill>
      </a:ln>
    </cs:spPr>
    <cs:defRPr sz="900" kern="1200"/>
  </cs:dataTable>
  <cs:downBar>
    <cs:lnRef idx="0"/>
    <cs:fillRef idx="0"/>
    <cs:effectRef idx="0"/>
    <cs:fontRef idx="minor">
      <a:schemeClr val="lt1"/>
    </cs:fontRef>
    <cs:spPr>
      <a:solidFill>
        <a:schemeClr val="dk1">
          <a:lumMod val="50000"/>
          <a:lumOff val="50000"/>
        </a:schemeClr>
      </a:solidFill>
      <a:ln w="9525">
        <a:solidFill>
          <a:schemeClr val="dk1">
            <a:lumMod val="75000"/>
          </a:schemeClr>
        </a:solidFill>
        <a:round/>
      </a:ln>
    </cs:spPr>
  </cs:downBar>
  <cs:dropLine>
    <cs:lnRef idx="0"/>
    <cs:fillRef idx="0"/>
    <cs:effectRef idx="0"/>
    <cs:fontRef idx="minor">
      <a:schemeClr val="dk1"/>
    </cs:fontRef>
    <cs:spPr>
      <a:ln w="9525">
        <a:solidFill>
          <a:schemeClr val="lt1">
            <a:lumMod val="50000"/>
          </a:schemeClr>
        </a:solidFill>
        <a:round/>
      </a:ln>
    </cs:spPr>
  </cs:dropLine>
  <cs:errorBar>
    <cs:lnRef idx="0"/>
    <cs:fillRef idx="0"/>
    <cs:effectRef idx="0"/>
    <cs:fontRef idx="minor">
      <a:schemeClr val="dk1"/>
    </cs:fontRef>
    <cs:spPr>
      <a:ln w="9525">
        <a:solidFill>
          <a:schemeClr val="lt1">
            <a:lumMod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75000"/>
                <a:lumOff val="25000"/>
              </a:schemeClr>
            </a:gs>
            <a:gs pos="0">
              <a:schemeClr val="dk1">
                <a:lumMod val="65000"/>
                <a:lumOff val="35000"/>
              </a:schemeClr>
            </a:gs>
          </a:gsLst>
          <a:lin ang="5400000" scaled="0"/>
        </a:gradFill>
        <a:round/>
      </a:ln>
    </cs:spPr>
  </cs:gridlineMajor>
  <cs:gridlineMinor>
    <cs:lnRef idx="0"/>
    <cs:fillRef idx="0"/>
    <cs:effectRef idx="0"/>
    <cs:fontRef idx="minor">
      <a:schemeClr val="dk1"/>
    </cs:fontRef>
    <cs:spPr>
      <a:ln w="9525" cap="flat" cmpd="sng" algn="ctr">
        <a:gradFill>
          <a:gsLst>
            <a:gs pos="100000">
              <a:schemeClr val="dk1">
                <a:lumMod val="75000"/>
                <a:lumOff val="25000"/>
                <a:alpha val="25000"/>
              </a:schemeClr>
            </a:gs>
            <a:gs pos="0">
              <a:schemeClr val="dk1">
                <a:lumMod val="65000"/>
                <a:lumOff val="35000"/>
                <a:alpha val="25000"/>
              </a:schemeClr>
            </a:gs>
          </a:gsLst>
          <a:lin ang="5400000" scaled="0"/>
        </a:gradFill>
        <a:round/>
      </a:ln>
    </cs:spPr>
  </cs:gridlineMinor>
  <cs:hiLoLine>
    <cs:lnRef idx="0"/>
    <cs:fillRef idx="0"/>
    <cs:effectRef idx="0"/>
    <cs:fontRef idx="minor">
      <a:schemeClr val="dk1"/>
    </cs:fontRef>
    <cs:spPr>
      <a:ln w="9525">
        <a:solidFill>
          <a:schemeClr val="lt1">
            <a:lumMod val="50000"/>
          </a:schemeClr>
        </a:solidFill>
        <a:round/>
      </a:ln>
    </cs:spPr>
  </cs:hiLoLine>
  <cs:leaderLine>
    <cs:lnRef idx="0"/>
    <cs:fillRef idx="0"/>
    <cs:effectRef idx="0"/>
    <cs:fontRef idx="minor">
      <a:schemeClr val="dk1"/>
    </cs:fontRef>
    <cs:spPr>
      <a:ln w="9525">
        <a:solidFill>
          <a:schemeClr val="lt1">
            <a:lumMod val="50000"/>
          </a:schemeClr>
        </a:solidFill>
        <a:round/>
      </a:ln>
    </cs:spPr>
  </cs:leaderLine>
  <cs:legend>
    <cs:lnRef idx="0"/>
    <cs:fillRef idx="0"/>
    <cs:effectRef idx="0"/>
    <cs:fontRef idx="minor">
      <a:schemeClr val="lt1">
        <a:lumMod val="7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lt1">
        <a:lumMod val="75000"/>
      </a:schemeClr>
    </cs:fontRef>
    <cs:defRPr sz="900" kern="1200"/>
  </cs:seriesAxis>
  <cs:seriesLine>
    <cs:lnRef idx="0"/>
    <cs:fillRef idx="0"/>
    <cs:effectRef idx="0"/>
    <cs:fontRef idx="minor">
      <a:schemeClr val="dk1"/>
    </cs:fontRef>
    <cs:spPr>
      <a:ln w="9525">
        <a:solidFill>
          <a:schemeClr val="lt1">
            <a:lumMod val="50000"/>
          </a:schemeClr>
        </a:solidFill>
        <a:round/>
      </a:ln>
    </cs:spPr>
  </cs:seriesLine>
  <cs:title>
    <cs:lnRef idx="0"/>
    <cs:fillRef idx="0"/>
    <cs:effectRef idx="0"/>
    <cs:fontRef idx="minor">
      <a:schemeClr val="lt1">
        <a:lumMod val="85000"/>
      </a:schemeClr>
    </cs:fontRef>
    <cs:defRPr sz="1400" b="1" kern="1200" cap="none" baseline="0"/>
  </cs:title>
  <cs:trendline>
    <cs:lnRef idx="0">
      <cs:styleClr val="auto"/>
    </cs:lnRef>
    <cs:fillRef idx="0"/>
    <cs:effectRef idx="0"/>
    <cs:fontRef idx="minor">
      <a:schemeClr val="lt1"/>
    </cs:fontRef>
    <cs:spPr>
      <a:ln w="25400" cap="rnd">
        <a:solidFill>
          <a:schemeClr val="phClr">
            <a:alpha val="50000"/>
          </a:schemeClr>
        </a:solidFill>
      </a:ln>
    </cs:spPr>
  </cs:trendline>
  <cs:trendlineLabel>
    <cs:lnRef idx="0"/>
    <cs:fillRef idx="0"/>
    <cs:effectRef idx="0"/>
    <cs:fontRef idx="minor">
      <a:schemeClr val="lt1">
        <a:lumMod val="75000"/>
      </a:schemeClr>
    </cs:fontRef>
    <cs:defRPr sz="900" kern="1200"/>
  </cs:trendlineLabel>
  <cs:upBar>
    <cs:lnRef idx="0"/>
    <cs:fillRef idx="0"/>
    <cs:effectRef idx="0"/>
    <cs:fontRef idx="minor">
      <a:schemeClr val="dk1"/>
    </cs:fontRef>
    <cs:spPr>
      <a:solidFill>
        <a:schemeClr val="lt1">
          <a:lumMod val="85000"/>
        </a:schemeClr>
      </a:solidFill>
      <a:ln w="9525">
        <a:solidFill>
          <a:schemeClr val="dk1">
            <a:lumMod val="50000"/>
          </a:schemeClr>
        </a:solidFill>
        <a:round/>
      </a:ln>
    </cs:spPr>
  </cs:upBar>
  <cs:valueAxis>
    <cs:lnRef idx="0"/>
    <cs:fillRef idx="0"/>
    <cs:effectRef idx="0"/>
    <cs:fontRef idx="minor">
      <a:schemeClr val="lt1">
        <a:lumMod val="75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9">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lt1"/>
    </cs:fontRef>
  </cs:dataPoint>
  <cs:dataPoint3D>
    <cs:lnRef idx="0"/>
    <cs:fillRef idx="3">
      <cs:styleClr val="auto"/>
    </cs:fillRef>
    <cs:effectRef idx="3"/>
    <cs:fontRef idx="minor">
      <a:schemeClr val="lt1"/>
    </cs:fontRef>
  </cs:dataPoint3D>
  <cs:dataPointLine>
    <cs:lnRef idx="0">
      <cs:styleClr val="auto"/>
    </cs:lnRef>
    <cs:fillRef idx="3"/>
    <cs:effectRef idx="3"/>
    <cs:fontRef idx="minor">
      <a:schemeClr val="lt1"/>
    </cs:fontRef>
    <cs:spPr>
      <a:ln w="34925" cap="rnd">
        <a:solidFill>
          <a:schemeClr val="phClr"/>
        </a:solidFill>
        <a:round/>
      </a:ln>
    </cs:spPr>
  </cs:dataPointLine>
  <cs:dataPointMarker>
    <cs:lnRef idx="0">
      <cs:styleClr val="auto"/>
    </cs:lnRef>
    <cs:fillRef idx="3">
      <cs:styleClr val="auto"/>
    </cs:fillRef>
    <cs:effectRef idx="3"/>
    <cs:fontRef idx="minor">
      <a:schemeClr val="lt1"/>
    </cs:fontRef>
    <cs:spPr>
      <a:ln w="9525">
        <a:solidFill>
          <a:schemeClr val="phClr"/>
        </a:solidFill>
        <a:round/>
      </a:ln>
    </cs:spPr>
  </cs:dataPointMarker>
  <cs:dataPointMarkerLayout symbol="circle" size="6"/>
  <cs:dataPointWireframe>
    <cs:lnRef idx="0">
      <cs:styleClr val="auto"/>
    </cs:lnRef>
    <cs:fillRef idx="3"/>
    <cs:effectRef idx="3"/>
    <cs:fontRef idx="minor">
      <a:schemeClr val="lt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lt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lt1"/>
    </cs:fontRef>
    <cs:spPr>
      <a:ln w="9525">
        <a:solidFill>
          <a:schemeClr val="lt1">
            <a:lumMod val="95000"/>
            <a:alpha val="54000"/>
          </a:schemeClr>
        </a:solidFill>
        <a:prstDash val="dash"/>
      </a:ln>
    </cs:spPr>
  </cs:dropLine>
  <cs:errorBar>
    <cs:lnRef idx="0"/>
    <cs:fillRef idx="0"/>
    <cs:effectRef idx="0"/>
    <cs:fontRef idx="minor">
      <a:schemeClr val="lt1"/>
    </cs:fontRef>
    <cs:spPr>
      <a:ln w="9525" cap="flat" cmpd="sng" algn="ctr">
        <a:solidFill>
          <a:schemeClr val="lt1">
            <a:lumMod val="95000"/>
          </a:schemeClr>
        </a:solidFill>
        <a:round/>
      </a:ln>
    </cs:spPr>
  </cs:errorBar>
  <cs:floor>
    <cs:lnRef idx="0"/>
    <cs:fillRef idx="0"/>
    <cs:effectRef idx="0"/>
    <cs:fontRef idx="minor">
      <a:schemeClr val="lt1"/>
    </cs:fontRef>
  </cs:floor>
  <cs:gridlineMajor>
    <cs:lnRef idx="0"/>
    <cs:fillRef idx="0"/>
    <cs:effectRef idx="0"/>
    <cs:fontRef idx="minor">
      <a:schemeClr val="lt1"/>
    </cs:fontRef>
    <cs:spPr>
      <a:ln w="9525" cap="flat" cmpd="sng" algn="ctr">
        <a:solidFill>
          <a:schemeClr val="lt1">
            <a:lumMod val="95000"/>
            <a:alpha val="10000"/>
          </a:schemeClr>
        </a:solidFill>
        <a:round/>
      </a:ln>
    </cs:spPr>
  </cs:gridlineMajor>
  <cs:gridlineMinor>
    <cs:lnRef idx="0"/>
    <cs:fillRef idx="0"/>
    <cs:effectRef idx="0"/>
    <cs:fontRef idx="minor">
      <a:schemeClr val="lt1"/>
    </cs:fontRef>
    <cs:spPr>
      <a:ln>
        <a:solidFill>
          <a:schemeClr val="lt1">
            <a:lumMod val="95000"/>
            <a:alpha val="5000"/>
          </a:schemeClr>
        </a:solidFill>
      </a:ln>
    </cs:spPr>
  </cs:gridlineMinor>
  <cs:hiLoLine>
    <cs:lnRef idx="0"/>
    <cs:fillRef idx="0"/>
    <cs:effectRef idx="0"/>
    <cs:fontRef idx="minor">
      <a:schemeClr val="lt1"/>
    </cs:fontRef>
    <cs:spPr>
      <a:ln w="9525">
        <a:solidFill>
          <a:schemeClr val="lt1">
            <a:lumMod val="95000"/>
            <a:alpha val="54000"/>
          </a:schemeClr>
        </a:solidFill>
        <a:prstDash val="dash"/>
      </a:ln>
    </cs:spPr>
  </cs:hiLoLine>
  <cs:leaderLine>
    <cs:lnRef idx="0"/>
    <cs:fillRef idx="0"/>
    <cs:effectRef idx="0"/>
    <cs:fontRef idx="minor">
      <a:schemeClr val="lt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lt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lt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3" Type="http://schemas.openxmlformats.org/officeDocument/2006/relationships/chart" Target="../charts/chart5.xml"/><Relationship Id="rId2" Type="http://schemas.openxmlformats.org/officeDocument/2006/relationships/chart" Target="../charts/chart4.xml"/><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oneCellAnchor>
    <xdr:from>
      <xdr:col>0</xdr:col>
      <xdr:colOff>29936</xdr:colOff>
      <xdr:row>3</xdr:row>
      <xdr:rowOff>150309</xdr:rowOff>
    </xdr:from>
    <xdr:ext cx="5120640" cy="2331279"/>
    <xdr:sp macro="" textlink="">
      <xdr:nvSpPr>
        <xdr:cNvPr id="2" name="Rectangle 1">
          <a:extLst>
            <a:ext uri="{FF2B5EF4-FFF2-40B4-BE49-F238E27FC236}">
              <a16:creationId xmlns:a16="http://schemas.microsoft.com/office/drawing/2014/main" id="{FD0FAABE-634B-490F-BAB8-C13961812421}"/>
            </a:ext>
          </a:extLst>
        </xdr:cNvPr>
        <xdr:cNvSpPr/>
      </xdr:nvSpPr>
      <xdr:spPr>
        <a:xfrm>
          <a:off x="29936" y="778959"/>
          <a:ext cx="5120640" cy="2331279"/>
        </a:xfrm>
        <a:prstGeom prst="rect">
          <a:avLst/>
        </a:prstGeom>
        <a:solidFill>
          <a:schemeClr val="bg1">
            <a:lumMod val="85000"/>
          </a:schemeClr>
        </a:solidFill>
        <a:ln>
          <a:noFill/>
        </a:ln>
      </xdr:spPr>
      <xdr:style>
        <a:lnRef idx="2">
          <a:schemeClr val="dk1"/>
        </a:lnRef>
        <a:fillRef idx="1">
          <a:schemeClr val="lt1"/>
        </a:fillRef>
        <a:effectRef idx="0">
          <a:schemeClr val="dk1"/>
        </a:effectRef>
        <a:fontRef idx="minor">
          <a:schemeClr val="dk1"/>
        </a:fontRef>
      </xdr:style>
      <xdr:txBody>
        <a:bodyPr wrap="square" lIns="91440" tIns="45720" rIns="91440" bIns="45720">
          <a:spAutoFit/>
        </a:bodyPr>
        <a:lstStyle/>
        <a:p>
          <a:r>
            <a:rPr lang="en-US" sz="1100" b="1">
              <a:latin typeface="+mn-lt"/>
              <a:ea typeface="Verdana" panose="020B0604030504040204" pitchFamily="34" charset="0"/>
            </a:rPr>
            <a:t>Welcome to the Personal Finance Tool from the YMCA of Greater Toronto (Financial Empowerment and Wellbeing Program – FEWP)!</a:t>
          </a:r>
        </a:p>
        <a:p>
          <a:br>
            <a:rPr lang="en-US" sz="1100">
              <a:latin typeface="+mn-lt"/>
              <a:ea typeface="Verdana" panose="020B0604030504040204" pitchFamily="34" charset="0"/>
            </a:rPr>
          </a:br>
          <a:r>
            <a:rPr lang="en-US" sz="1100">
              <a:latin typeface="+mn-lt"/>
              <a:ea typeface="Verdana" panose="020B0604030504040204" pitchFamily="34" charset="0"/>
            </a:rPr>
            <a:t>Congratulations on taking an important step toward managing your personal finances. This tool is a simple template designed to support your decision-making.</a:t>
          </a:r>
        </a:p>
        <a:p>
          <a:endParaRPr lang="en-US" sz="1100">
            <a:latin typeface="+mn-lt"/>
            <a:ea typeface="Verdana" panose="020B0604030504040204" pitchFamily="34" charset="0"/>
          </a:endParaRPr>
        </a:p>
        <a:p>
          <a:r>
            <a:rPr lang="en-US" sz="1100" b="1">
              <a:latin typeface="+mn-lt"/>
              <a:ea typeface="Verdana" panose="020B0604030504040204" pitchFamily="34" charset="0"/>
            </a:rPr>
            <a:t>Note:</a:t>
          </a:r>
          <a:r>
            <a:rPr lang="en-US" sz="1100">
              <a:latin typeface="+mn-lt"/>
              <a:ea typeface="Verdana" panose="020B0604030504040204" pitchFamily="34" charset="0"/>
            </a:rPr>
            <a:t> While this worksheet can help you stay organized, it does not guarantee a solution to your financial situation. Your financial choices and outcomes remain your responsibility.</a:t>
          </a:r>
        </a:p>
        <a:p>
          <a:endParaRPr lang="en-US" sz="1100">
            <a:latin typeface="+mn-lt"/>
            <a:ea typeface="Verdana" panose="020B0604030504040204" pitchFamily="34" charset="0"/>
          </a:endParaRPr>
        </a:p>
        <a:p>
          <a:r>
            <a:rPr lang="en-US" sz="1100">
              <a:latin typeface="+mn-lt"/>
              <a:ea typeface="Verdana" panose="020B0604030504040204" pitchFamily="34" charset="0"/>
            </a:rPr>
            <a:t>If you need further support, please connect with your Case Manager. They can guide you on next steps and refer you to the appropriate expert for additional help.</a:t>
          </a:r>
        </a:p>
        <a:p>
          <a:pPr algn="ctr"/>
          <a:endParaRPr lang="en-US" sz="1100" b="0" cap="none" spc="0">
            <a:ln w="0"/>
            <a:solidFill>
              <a:schemeClr val="tx1"/>
            </a:solidFill>
            <a:effectLst>
              <a:outerShdw blurRad="38100" dist="19050" dir="2700000" algn="tl" rotWithShape="0">
                <a:schemeClr val="dk1">
                  <a:alpha val="40000"/>
                </a:schemeClr>
              </a:outerShdw>
            </a:effectLst>
            <a:latin typeface="+mn-lt"/>
            <a:ea typeface="Verdana" panose="020B0604030504040204" pitchFamily="34" charset="0"/>
          </a:endParaRPr>
        </a:p>
      </xdr:txBody>
    </xdr:sp>
    <xdr:clientData/>
  </xdr:oneCellAnchor>
  <xdr:oneCellAnchor>
    <xdr:from>
      <xdr:col>8</xdr:col>
      <xdr:colOff>375587</xdr:colOff>
      <xdr:row>3</xdr:row>
      <xdr:rowOff>151464</xdr:rowOff>
    </xdr:from>
    <xdr:ext cx="5120640" cy="2331386"/>
    <xdr:sp macro="" textlink="">
      <xdr:nvSpPr>
        <xdr:cNvPr id="5" name="Rectangle 4">
          <a:extLst>
            <a:ext uri="{FF2B5EF4-FFF2-40B4-BE49-F238E27FC236}">
              <a16:creationId xmlns:a16="http://schemas.microsoft.com/office/drawing/2014/main" id="{D4DBF8C8-CCB8-40BC-A2B1-0626C3AFAC5B}"/>
            </a:ext>
          </a:extLst>
        </xdr:cNvPr>
        <xdr:cNvSpPr/>
      </xdr:nvSpPr>
      <xdr:spPr>
        <a:xfrm>
          <a:off x="5353987" y="780114"/>
          <a:ext cx="5120640" cy="2331386"/>
        </a:xfrm>
        <a:prstGeom prst="rect">
          <a:avLst/>
        </a:prstGeom>
        <a:solidFill>
          <a:schemeClr val="bg1">
            <a:lumMod val="85000"/>
          </a:schemeClr>
        </a:solidFill>
        <a:ln>
          <a:noFill/>
        </a:ln>
      </xdr:spPr>
      <xdr:style>
        <a:lnRef idx="2">
          <a:schemeClr val="dk1"/>
        </a:lnRef>
        <a:fillRef idx="1">
          <a:schemeClr val="lt1"/>
        </a:fillRef>
        <a:effectRef idx="0">
          <a:schemeClr val="dk1"/>
        </a:effectRef>
        <a:fontRef idx="minor">
          <a:schemeClr val="dk1"/>
        </a:fontRef>
      </xdr:style>
      <xdr:txBody>
        <a:bodyPr wrap="square" lIns="91440" tIns="45720" rIns="91440" bIns="45720">
          <a:noAutofit/>
        </a:bodyPr>
        <a:lstStyle/>
        <a:p>
          <a:pPr marL="0" indent="0" algn="l"/>
          <a:r>
            <a:rPr lang="en-US" sz="1100" b="0">
              <a:solidFill>
                <a:schemeClr val="dk1"/>
              </a:solidFill>
              <a:latin typeface="+mn-lt"/>
              <a:ea typeface="Verdana" panose="020B0604030504040204" pitchFamily="34" charset="0"/>
              <a:cs typeface="+mn-cs"/>
            </a:rPr>
            <a:t>Use this monthly budget worksheet to track your expected and actual income and </a:t>
          </a:r>
        </a:p>
        <a:p>
          <a:pPr marL="0" indent="0" algn="l"/>
          <a:r>
            <a:rPr lang="en-US" sz="1100" b="0">
              <a:solidFill>
                <a:schemeClr val="dk1"/>
              </a:solidFill>
              <a:latin typeface="+mn-lt"/>
              <a:ea typeface="Verdana" panose="020B0604030504040204" pitchFamily="34" charset="0"/>
              <a:cs typeface="+mn-cs"/>
            </a:rPr>
            <a:t>expenses.</a:t>
          </a:r>
        </a:p>
        <a:p>
          <a:pPr marL="0" indent="0" algn="l"/>
          <a:endParaRPr lang="en-US" sz="1100" b="0">
            <a:solidFill>
              <a:schemeClr val="dk1"/>
            </a:solidFill>
            <a:latin typeface="+mn-lt"/>
            <a:ea typeface="Verdana" panose="020B0604030504040204" pitchFamily="34" charset="0"/>
            <a:cs typeface="+mn-cs"/>
          </a:endParaRPr>
        </a:p>
        <a:p>
          <a:pPr marL="0" indent="0" algn="l"/>
          <a:r>
            <a:rPr lang="en-US" sz="1100" b="0">
              <a:solidFill>
                <a:schemeClr val="dk1"/>
              </a:solidFill>
              <a:latin typeface="+mn-lt"/>
              <a:ea typeface="Verdana" panose="020B0604030504040204" pitchFamily="34" charset="0"/>
              <a:cs typeface="+mn-cs"/>
            </a:rPr>
            <a:t>Enter your spending under the right categories in the tables.</a:t>
          </a:r>
          <a:br>
            <a:rPr lang="en-US" sz="1100" b="0">
              <a:solidFill>
                <a:schemeClr val="dk1"/>
              </a:solidFill>
              <a:latin typeface="+mn-lt"/>
              <a:ea typeface="Verdana" panose="020B0604030504040204" pitchFamily="34" charset="0"/>
              <a:cs typeface="+mn-cs"/>
            </a:rPr>
          </a:br>
          <a:r>
            <a:rPr lang="en-US" sz="1100" b="0">
              <a:solidFill>
                <a:schemeClr val="dk1"/>
              </a:solidFill>
              <a:latin typeface="+mn-lt"/>
              <a:ea typeface="Verdana" panose="020B0604030504040204" pitchFamily="34" charset="0"/>
              <a:cs typeface="+mn-cs"/>
            </a:rPr>
            <a:t>The worksheet automatically calculates your projected balance, actual balance, </a:t>
          </a:r>
        </a:p>
        <a:p>
          <a:pPr marL="0" indent="0" algn="l"/>
          <a:r>
            <a:rPr lang="en-US" sz="1100" b="0">
              <a:solidFill>
                <a:schemeClr val="dk1"/>
              </a:solidFill>
              <a:latin typeface="+mn-lt"/>
              <a:ea typeface="Verdana" panose="020B0604030504040204" pitchFamily="34" charset="0"/>
              <a:cs typeface="+mn-cs"/>
            </a:rPr>
            <a:t>and the difference.</a:t>
          </a:r>
        </a:p>
        <a:p>
          <a:pPr marL="0" indent="0" algn="l"/>
          <a:endParaRPr lang="en-US" sz="1100" b="0">
            <a:solidFill>
              <a:schemeClr val="dk1"/>
            </a:solidFill>
            <a:latin typeface="+mn-lt"/>
            <a:ea typeface="Verdana" panose="020B0604030504040204" pitchFamily="34" charset="0"/>
            <a:cs typeface="+mn-cs"/>
          </a:endParaRPr>
        </a:p>
        <a:p>
          <a:pPr marL="0" indent="0" algn="l"/>
          <a:r>
            <a:rPr lang="en-US" sz="1100" b="1">
              <a:solidFill>
                <a:schemeClr val="dk1"/>
              </a:solidFill>
              <a:latin typeface="+mn-lt"/>
              <a:ea typeface="Verdana" panose="020B0604030504040204" pitchFamily="34" charset="0"/>
              <a:cs typeface="+mn-cs"/>
            </a:rPr>
            <a:t>Note: </a:t>
          </a:r>
          <a:r>
            <a:rPr lang="en-US" sz="1100" b="0">
              <a:solidFill>
                <a:schemeClr val="dk1"/>
              </a:solidFill>
              <a:latin typeface="+mn-lt"/>
              <a:ea typeface="Verdana" panose="020B0604030504040204" pitchFamily="34" charset="0"/>
              <a:cs typeface="+mn-cs"/>
            </a:rPr>
            <a:t>Extra instructions are in column A of the PERSONAL MONTHLY BUDGET sheet. </a:t>
          </a:r>
        </a:p>
        <a:p>
          <a:pPr marL="0" indent="0" algn="l"/>
          <a:r>
            <a:rPr lang="en-US" sz="1100" b="0">
              <a:solidFill>
                <a:schemeClr val="dk1"/>
              </a:solidFill>
              <a:latin typeface="+mn-lt"/>
              <a:ea typeface="Verdana" panose="020B0604030504040204" pitchFamily="34" charset="0"/>
              <a:cs typeface="+mn-cs"/>
            </a:rPr>
            <a:t>This text is hidden on purpose.</a:t>
          </a:r>
        </a:p>
        <a:p>
          <a:pPr marL="0" indent="0" algn="l"/>
          <a:r>
            <a:rPr lang="en-US" sz="1100" b="0">
              <a:solidFill>
                <a:schemeClr val="dk1"/>
              </a:solidFill>
              <a:latin typeface="+mn-lt"/>
              <a:ea typeface="Verdana" panose="020B0604030504040204" pitchFamily="34" charset="0"/>
              <a:cs typeface="+mn-cs"/>
            </a:rPr>
            <a:t>To delete it: select column A, then press DELETE.</a:t>
          </a:r>
        </a:p>
        <a:p>
          <a:pPr marL="0" indent="0" algn="l"/>
          <a:r>
            <a:rPr lang="en-US" sz="1100" b="0">
              <a:solidFill>
                <a:schemeClr val="dk1"/>
              </a:solidFill>
              <a:latin typeface="+mn-lt"/>
              <a:ea typeface="Verdana" panose="020B0604030504040204" pitchFamily="34" charset="0"/>
              <a:cs typeface="+mn-cs"/>
            </a:rPr>
            <a:t>To see it: select column A and change the font colour.</a:t>
          </a:r>
        </a:p>
        <a:p>
          <a:pPr marL="0" indent="0" algn="l"/>
          <a:r>
            <a:rPr lang="en-US" sz="1100" b="0">
              <a:solidFill>
                <a:schemeClr val="dk1"/>
              </a:solidFill>
              <a:latin typeface="+mn-lt"/>
              <a:ea typeface="Verdana" panose="020B0604030504040204" pitchFamily="34" charset="0"/>
              <a:cs typeface="+mn-cs"/>
            </a:rPr>
            <a:t>To learn more about tables in the sheet, press SHIFT + F10 inside a table, choose TABLE, then select ALTERNATIVE TEXT.</a:t>
          </a:r>
        </a:p>
        <a:p>
          <a:pPr marL="0" indent="0" algn="ctr"/>
          <a:endParaRPr lang="en-US" sz="1100" b="0">
            <a:solidFill>
              <a:schemeClr val="dk1"/>
            </a:solidFill>
            <a:latin typeface="+mn-lt"/>
            <a:ea typeface="Verdana" panose="020B0604030504040204" pitchFamily="34" charset="0"/>
            <a:cs typeface="+mn-cs"/>
          </a:endParaRPr>
        </a:p>
      </xdr:txBody>
    </xdr:sp>
    <xdr:clientData/>
  </xdr:oneCellAnchor>
  <xdr:twoCellAnchor editAs="oneCell">
    <xdr:from>
      <xdr:col>0</xdr:col>
      <xdr:colOff>177800</xdr:colOff>
      <xdr:row>0</xdr:row>
      <xdr:rowOff>95251</xdr:rowOff>
    </xdr:from>
    <xdr:to>
      <xdr:col>2</xdr:col>
      <xdr:colOff>160564</xdr:colOff>
      <xdr:row>2</xdr:row>
      <xdr:rowOff>73623</xdr:rowOff>
    </xdr:to>
    <xdr:pic>
      <xdr:nvPicPr>
        <xdr:cNvPr id="6" name="Picture 5">
          <a:extLst>
            <a:ext uri="{FF2B5EF4-FFF2-40B4-BE49-F238E27FC236}">
              <a16:creationId xmlns:a16="http://schemas.microsoft.com/office/drawing/2014/main" id="{8CEDD5AD-FBEA-4C7A-B9A4-AA46249622B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77800" y="95251"/>
          <a:ext cx="1187450" cy="41017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2</xdr:row>
      <xdr:rowOff>23132</xdr:rowOff>
    </xdr:from>
    <xdr:to>
      <xdr:col>8</xdr:col>
      <xdr:colOff>303894</xdr:colOff>
      <xdr:row>23</xdr:row>
      <xdr:rowOff>65315</xdr:rowOff>
    </xdr:to>
    <xdr:graphicFrame macro="">
      <xdr:nvGraphicFramePr>
        <xdr:cNvPr id="8" name="Chart 7">
          <a:extLst>
            <a:ext uri="{FF2B5EF4-FFF2-40B4-BE49-F238E27FC236}">
              <a16:creationId xmlns:a16="http://schemas.microsoft.com/office/drawing/2014/main" id="{CB9939BB-881A-4A11-8369-BF41A2A563A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359229</xdr:colOff>
      <xdr:row>2</xdr:row>
      <xdr:rowOff>21316</xdr:rowOff>
    </xdr:from>
    <xdr:to>
      <xdr:col>18</xdr:col>
      <xdr:colOff>19050</xdr:colOff>
      <xdr:row>23</xdr:row>
      <xdr:rowOff>68035</xdr:rowOff>
    </xdr:to>
    <xdr:graphicFrame macro="">
      <xdr:nvGraphicFramePr>
        <xdr:cNvPr id="11" name="Chart 10">
          <a:extLst>
            <a:ext uri="{FF2B5EF4-FFF2-40B4-BE49-F238E27FC236}">
              <a16:creationId xmlns:a16="http://schemas.microsoft.com/office/drawing/2014/main" id="{76105B88-752A-4D32-92D3-BDF0968A46C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dr:oneCellAnchor>
    <xdr:from>
      <xdr:col>11</xdr:col>
      <xdr:colOff>221343</xdr:colOff>
      <xdr:row>0</xdr:row>
      <xdr:rowOff>258260</xdr:rowOff>
    </xdr:from>
    <xdr:ext cx="2037058" cy="2847959"/>
    <xdr:sp macro="" textlink="">
      <xdr:nvSpPr>
        <xdr:cNvPr id="2" name="Rectangle 1">
          <a:extLst>
            <a:ext uri="{FF2B5EF4-FFF2-40B4-BE49-F238E27FC236}">
              <a16:creationId xmlns:a16="http://schemas.microsoft.com/office/drawing/2014/main" id="{81288359-8759-4CD1-8421-DD1143C191F0}"/>
            </a:ext>
          </a:extLst>
        </xdr:cNvPr>
        <xdr:cNvSpPr/>
      </xdr:nvSpPr>
      <xdr:spPr>
        <a:xfrm>
          <a:off x="9219293" y="442410"/>
          <a:ext cx="2037058" cy="2847959"/>
        </a:xfrm>
        <a:prstGeom prst="rect">
          <a:avLst/>
        </a:prstGeom>
        <a:solidFill>
          <a:schemeClr val="bg1">
            <a:lumMod val="85000"/>
          </a:schemeClr>
        </a:solidFill>
      </xdr:spPr>
      <xdr:txBody>
        <a:bodyPr wrap="square" lIns="91440" tIns="45720" rIns="91440" bIns="45720">
          <a:spAutoFit/>
        </a:bodyPr>
        <a:lstStyle/>
        <a:p>
          <a:pPr algn="l"/>
          <a:r>
            <a:rPr lang="en-US" sz="1100" b="1">
              <a:solidFill>
                <a:sysClr val="windowText" lastClr="000000"/>
              </a:solidFill>
            </a:rPr>
            <a:t>Please change the values as applicable to you.</a:t>
          </a:r>
          <a:br>
            <a:rPr lang="en-US" sz="1100">
              <a:solidFill>
                <a:sysClr val="windowText" lastClr="000000"/>
              </a:solidFill>
            </a:rPr>
          </a:br>
          <a:r>
            <a:rPr lang="en-US" sz="1100">
              <a:solidFill>
                <a:sysClr val="windowText" lastClr="000000"/>
              </a:solidFill>
            </a:rPr>
            <a:t>We have included these values as examples to show how this tool works. "Projected cost" refers to your expected cost, and "Actual" is the real cost. A positive difference indicates savings, while a negative difference shows a deficit (i.e., you</a:t>
          </a:r>
          <a:r>
            <a:rPr lang="en-US" sz="1100" baseline="0">
              <a:solidFill>
                <a:sysClr val="windowText" lastClr="000000"/>
              </a:solidFill>
            </a:rPr>
            <a:t> a</a:t>
          </a:r>
          <a:r>
            <a:rPr lang="en-US" sz="1100">
              <a:solidFill>
                <a:sysClr val="windowText" lastClr="000000"/>
              </a:solidFill>
            </a:rPr>
            <a:t>re short on money).</a:t>
          </a:r>
        </a:p>
        <a:p>
          <a:pPr algn="l"/>
          <a:r>
            <a:rPr lang="en-US" sz="1100">
              <a:solidFill>
                <a:sysClr val="windowText" lastClr="000000"/>
              </a:solidFill>
            </a:rPr>
            <a:t>This is only for one month, so you may want to prepare this each month as needed-especially considering holidays, vacation time, etc.</a:t>
          </a:r>
          <a:endParaRPr lang="en-US" sz="1100" b="0" cap="none" spc="0">
            <a:ln w="0"/>
            <a:solidFill>
              <a:sysClr val="windowText" lastClr="000000"/>
            </a:solidFill>
            <a:effectLst>
              <a:outerShdw blurRad="38100" dist="19050" dir="2700000" algn="tl" rotWithShape="0">
                <a:schemeClr val="dk1">
                  <a:alpha val="40000"/>
                </a:schemeClr>
              </a:outerShdw>
            </a:effectLst>
          </a:endParaRPr>
        </a:p>
      </xdr:txBody>
    </xdr:sp>
    <xdr:clientData/>
  </xdr:oneCellAnchor>
  <xdr:oneCellAnchor>
    <xdr:from>
      <xdr:col>11</xdr:col>
      <xdr:colOff>214829</xdr:colOff>
      <xdr:row>24</xdr:row>
      <xdr:rowOff>95250</xdr:rowOff>
    </xdr:from>
    <xdr:ext cx="2037058" cy="3536866"/>
    <xdr:sp macro="" textlink="">
      <xdr:nvSpPr>
        <xdr:cNvPr id="4" name="Rectangle 3">
          <a:extLst>
            <a:ext uri="{FF2B5EF4-FFF2-40B4-BE49-F238E27FC236}">
              <a16:creationId xmlns:a16="http://schemas.microsoft.com/office/drawing/2014/main" id="{35354ACD-0F0F-4556-918E-EA6ECD3EF833}"/>
            </a:ext>
          </a:extLst>
        </xdr:cNvPr>
        <xdr:cNvSpPr/>
      </xdr:nvSpPr>
      <xdr:spPr>
        <a:xfrm>
          <a:off x="9231829" y="4263159"/>
          <a:ext cx="2037058" cy="3536866"/>
        </a:xfrm>
        <a:prstGeom prst="rect">
          <a:avLst/>
        </a:prstGeom>
        <a:solidFill>
          <a:schemeClr val="bg1">
            <a:lumMod val="85000"/>
          </a:schemeClr>
        </a:solidFill>
      </xdr:spPr>
      <xdr:txBody>
        <a:bodyPr wrap="square" lIns="91440" tIns="45720" rIns="91440" bIns="45720">
          <a:spAutoFit/>
        </a:bodyPr>
        <a:lstStyle/>
        <a:p>
          <a:r>
            <a:rPr lang="en-US" sz="1100" b="1">
              <a:solidFill>
                <a:sysClr val="windowText" lastClr="000000"/>
              </a:solidFill>
            </a:rPr>
            <a:t>Please Note:</a:t>
          </a:r>
          <a:br>
            <a:rPr lang="en-US" sz="1100">
              <a:solidFill>
                <a:sysClr val="windowText" lastClr="000000"/>
              </a:solidFill>
            </a:rPr>
          </a:br>
          <a:r>
            <a:rPr lang="en-US" sz="1100">
              <a:solidFill>
                <a:sysClr val="windowText" lastClr="000000"/>
              </a:solidFill>
            </a:rPr>
            <a:t>Not all cost items listed here may apply to you. If they don’t, simply leave them blank. This tool has been designed with flexibility in mind, including for users who may have these types of costs.</a:t>
          </a:r>
        </a:p>
        <a:p>
          <a:endParaRPr lang="en-US" sz="1100">
            <a:solidFill>
              <a:sysClr val="windowText" lastClr="000000"/>
            </a:solidFill>
          </a:endParaRPr>
        </a:p>
        <a:p>
          <a:r>
            <a:rPr lang="en-US" sz="1100">
              <a:solidFill>
                <a:sysClr val="windowText" lastClr="000000"/>
              </a:solidFill>
            </a:rPr>
            <a:t>Please </a:t>
          </a:r>
          <a:r>
            <a:rPr lang="en-US" sz="1100" b="1">
              <a:solidFill>
                <a:sysClr val="windowText" lastClr="000000"/>
              </a:solidFill>
            </a:rPr>
            <a:t>do not delete</a:t>
          </a:r>
          <a:r>
            <a:rPr lang="en-US" sz="1100">
              <a:solidFill>
                <a:sysClr val="windowText" lastClr="000000"/>
              </a:solidFill>
            </a:rPr>
            <a:t> any rows or columns, even if they are not relevant to you, as doing so may affect the formulas and cause the tool to stop functioning properly.</a:t>
          </a:r>
        </a:p>
        <a:p>
          <a:r>
            <a:rPr lang="en-US" sz="1100">
              <a:solidFill>
                <a:sysClr val="windowText" lastClr="000000"/>
              </a:solidFill>
            </a:rPr>
            <a:t>If you accidentally delete something and the tool no longer works, feel free to download a fresh copy from our website.</a:t>
          </a:r>
        </a:p>
      </xdr:txBody>
    </xdr:sp>
    <xdr:clientData/>
  </xdr:oneCellAnchor>
  <xdr:oneCellAnchor>
    <xdr:from>
      <xdr:col>11</xdr:col>
      <xdr:colOff>207226</xdr:colOff>
      <xdr:row>19</xdr:row>
      <xdr:rowOff>27929</xdr:rowOff>
    </xdr:from>
    <xdr:ext cx="2039601" cy="781240"/>
    <xdr:sp macro="" textlink="">
      <xdr:nvSpPr>
        <xdr:cNvPr id="5" name="Rectangle 4">
          <a:extLst>
            <a:ext uri="{FF2B5EF4-FFF2-40B4-BE49-F238E27FC236}">
              <a16:creationId xmlns:a16="http://schemas.microsoft.com/office/drawing/2014/main" id="{BE730A13-8B6C-47B9-BD09-853B87E65D84}"/>
            </a:ext>
          </a:extLst>
        </xdr:cNvPr>
        <xdr:cNvSpPr/>
      </xdr:nvSpPr>
      <xdr:spPr>
        <a:xfrm>
          <a:off x="9224226" y="3387656"/>
          <a:ext cx="2039601" cy="781240"/>
        </a:xfrm>
        <a:prstGeom prst="rect">
          <a:avLst/>
        </a:prstGeom>
        <a:solidFill>
          <a:schemeClr val="bg1">
            <a:lumMod val="85000"/>
          </a:schemeClr>
        </a:solidFill>
      </xdr:spPr>
      <xdr:txBody>
        <a:bodyPr wrap="square" lIns="91440" tIns="45720" rIns="91440" bIns="45720">
          <a:spAutoFit/>
        </a:bodyPr>
        <a:lstStyle/>
        <a:p>
          <a:pPr algn="ctr"/>
          <a:r>
            <a:rPr lang="en-US" sz="1100" b="0" cap="none" spc="0">
              <a:ln>
                <a:noFill/>
              </a:ln>
              <a:solidFill>
                <a:schemeClr val="tx1"/>
              </a:solidFill>
              <a:effectLst/>
            </a:rPr>
            <a:t>As</a:t>
          </a:r>
          <a:r>
            <a:rPr lang="en-US" sz="1100" b="0" cap="none" spc="0" baseline="0">
              <a:ln>
                <a:noFill/>
              </a:ln>
              <a:solidFill>
                <a:schemeClr val="tx1"/>
              </a:solidFill>
              <a:effectLst/>
            </a:rPr>
            <a:t> in traffic light,</a:t>
          </a:r>
        </a:p>
        <a:p>
          <a:pPr algn="ctr"/>
          <a:r>
            <a:rPr lang="en-US" sz="1100" b="0" cap="none" spc="0" baseline="0">
              <a:ln>
                <a:noFill/>
              </a:ln>
              <a:solidFill>
                <a:schemeClr val="tx1"/>
              </a:solidFill>
              <a:effectLst/>
            </a:rPr>
            <a:t>green is safe, </a:t>
          </a:r>
        </a:p>
        <a:p>
          <a:pPr algn="ctr"/>
          <a:r>
            <a:rPr lang="en-US" sz="1100" b="0" cap="none" spc="0" baseline="0">
              <a:ln>
                <a:noFill/>
              </a:ln>
              <a:solidFill>
                <a:schemeClr val="tx1"/>
              </a:solidFill>
              <a:effectLst/>
            </a:rPr>
            <a:t>amber is careful, </a:t>
          </a:r>
        </a:p>
        <a:p>
          <a:pPr algn="ctr"/>
          <a:r>
            <a:rPr lang="en-US" sz="1100" b="0" cap="none" spc="0" baseline="0">
              <a:ln>
                <a:noFill/>
              </a:ln>
              <a:solidFill>
                <a:schemeClr val="tx1"/>
              </a:solidFill>
              <a:effectLst/>
            </a:rPr>
            <a:t>red is stop</a:t>
          </a:r>
          <a:endParaRPr lang="en-US" sz="1100" b="0" cap="none" spc="0">
            <a:ln>
              <a:noFill/>
            </a:ln>
            <a:solidFill>
              <a:schemeClr val="tx1"/>
            </a:solidFill>
            <a:effectLst/>
          </a:endParaRP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7</xdr:col>
      <xdr:colOff>29936</xdr:colOff>
      <xdr:row>0</xdr:row>
      <xdr:rowOff>24493</xdr:rowOff>
    </xdr:from>
    <xdr:ext cx="2037058" cy="3709092"/>
    <xdr:sp macro="" textlink="">
      <xdr:nvSpPr>
        <xdr:cNvPr id="3" name="Rectangle 2">
          <a:extLst>
            <a:ext uri="{FF2B5EF4-FFF2-40B4-BE49-F238E27FC236}">
              <a16:creationId xmlns:a16="http://schemas.microsoft.com/office/drawing/2014/main" id="{53D0F002-1149-435F-BD19-5428029A35A8}"/>
            </a:ext>
          </a:extLst>
        </xdr:cNvPr>
        <xdr:cNvSpPr/>
      </xdr:nvSpPr>
      <xdr:spPr>
        <a:xfrm>
          <a:off x="7949293" y="24493"/>
          <a:ext cx="2037058" cy="3709092"/>
        </a:xfrm>
        <a:prstGeom prst="rect">
          <a:avLst/>
        </a:prstGeom>
        <a:solidFill>
          <a:schemeClr val="bg1">
            <a:lumMod val="85000"/>
          </a:schemeClr>
        </a:solidFill>
      </xdr:spPr>
      <xdr:txBody>
        <a:bodyPr wrap="square" lIns="91440" tIns="45720" rIns="91440" bIns="45720">
          <a:spAutoFit/>
        </a:bodyPr>
        <a:lstStyle/>
        <a:p>
          <a:pPr algn="l"/>
          <a:r>
            <a:rPr lang="en-US" sz="1100" b="0">
              <a:solidFill>
                <a:sysClr val="windowText" lastClr="000000"/>
              </a:solidFill>
            </a:rPr>
            <a:t>The present value or investment amount comes from the Savings and Investment Table in your Monthly Budget tab. You’ll need to manually enter your interest rate, investment term, and monthly contributions. You can also choose how much of the interest (from 0% to 100%) you want to reinvest.</a:t>
          </a:r>
        </a:p>
        <a:p>
          <a:pPr algn="l"/>
          <a:endParaRPr lang="en-US" sz="1100" b="0">
            <a:solidFill>
              <a:sysClr val="windowText" lastClr="000000"/>
            </a:solidFill>
          </a:endParaRPr>
        </a:p>
        <a:p>
          <a:pPr algn="l"/>
          <a:r>
            <a:rPr lang="en-US" sz="1100" b="0">
              <a:solidFill>
                <a:sysClr val="windowText" lastClr="000000"/>
              </a:solidFill>
            </a:rPr>
            <a:t>Once you fill in this information, the monthly table updates automatically and shows your projected investment value after 7 and 20 years.</a:t>
          </a:r>
        </a:p>
        <a:p>
          <a:pPr algn="l"/>
          <a:endParaRPr lang="en-US" sz="1100" b="0">
            <a:solidFill>
              <a:sysClr val="windowText" lastClr="000000"/>
            </a:solidFill>
          </a:endParaRPr>
        </a:p>
        <a:p>
          <a:pPr algn="l"/>
          <a:r>
            <a:rPr lang="en-US" sz="1100" b="0">
              <a:solidFill>
                <a:sysClr val="windowText" lastClr="000000"/>
              </a:solidFill>
            </a:rPr>
            <a:t>Please note: this calculation does not include investment management fees or taxes on investment income.</a:t>
          </a:r>
          <a:endParaRPr lang="en-US" sz="1100" b="0" cap="none" spc="0">
            <a:ln w="0"/>
            <a:solidFill>
              <a:sysClr val="windowText" lastClr="000000"/>
            </a:solidFill>
            <a:effectLst>
              <a:outerShdw blurRad="38100" dist="19050" dir="2700000" algn="tl" rotWithShape="0">
                <a:schemeClr val="dk1">
                  <a:alpha val="40000"/>
                </a:schemeClr>
              </a:outerShdw>
            </a:effectLst>
          </a:endParaRPr>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3</xdr:col>
      <xdr:colOff>211365</xdr:colOff>
      <xdr:row>2</xdr:row>
      <xdr:rowOff>19229</xdr:rowOff>
    </xdr:from>
    <xdr:ext cx="3220356" cy="691066"/>
    <xdr:sp macro="" textlink="">
      <xdr:nvSpPr>
        <xdr:cNvPr id="2" name="Rectangle 1">
          <a:extLst>
            <a:ext uri="{FF2B5EF4-FFF2-40B4-BE49-F238E27FC236}">
              <a16:creationId xmlns:a16="http://schemas.microsoft.com/office/drawing/2014/main" id="{25E82807-E541-418B-A586-E8C0510F6893}"/>
            </a:ext>
          </a:extLst>
        </xdr:cNvPr>
        <xdr:cNvSpPr/>
      </xdr:nvSpPr>
      <xdr:spPr>
        <a:xfrm>
          <a:off x="3354615" y="406579"/>
          <a:ext cx="3220356" cy="691066"/>
        </a:xfrm>
        <a:prstGeom prst="rect">
          <a:avLst/>
        </a:prstGeom>
        <a:solidFill>
          <a:schemeClr val="accent4">
            <a:lumMod val="20000"/>
            <a:lumOff val="80000"/>
          </a:schemeClr>
        </a:solidFill>
      </xdr:spPr>
      <xdr:txBody>
        <a:bodyPr wrap="none" lIns="91440" tIns="45720" rIns="91440" bIns="45720">
          <a:noAutofit/>
        </a:bodyPr>
        <a:lstStyle/>
        <a:p>
          <a:pPr marL="0" marR="0" lvl="0" indent="0" algn="ctr"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This tab is independent of other tabs as we wanted you </a:t>
          </a:r>
        </a:p>
        <a:p>
          <a:pPr marL="0" marR="0" lvl="0" indent="0" algn="ctr"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to have an idea of how much a loan is suitable for </a:t>
          </a:r>
        </a:p>
        <a:p>
          <a:pPr marL="0" marR="0" lvl="0" indent="0" algn="ctr"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5 years at a specific interest rate.</a:t>
          </a:r>
        </a:p>
        <a:p>
          <a:pPr algn="ctr"/>
          <a:r>
            <a:rPr lang="en-US" sz="1100" b="0" cap="none" spc="0" baseline="0">
              <a:ln w="0"/>
              <a:solidFill>
                <a:schemeClr val="accent1"/>
              </a:solidFill>
              <a:effectLst>
                <a:outerShdw blurRad="38100" dist="25400" dir="5400000" algn="ctr" rotWithShape="0">
                  <a:srgbClr val="6E747A">
                    <a:alpha val="43000"/>
                  </a:srgbClr>
                </a:outerShdw>
              </a:effectLst>
            </a:rPr>
            <a:t> </a:t>
          </a:r>
          <a:endParaRPr lang="en-US" sz="1100" b="0" cap="none" spc="0">
            <a:ln w="0"/>
            <a:solidFill>
              <a:schemeClr val="accent1"/>
            </a:solidFill>
            <a:effectLst>
              <a:outerShdw blurRad="38100" dist="25400" dir="5400000" algn="ctr" rotWithShape="0">
                <a:srgbClr val="6E747A">
                  <a:alpha val="43000"/>
                </a:srgbClr>
              </a:outerShdw>
            </a:effectLst>
          </a:endParaRPr>
        </a:p>
      </xdr:txBody>
    </xdr:sp>
    <xdr:clientData/>
  </xdr:oneCellAnchor>
</xdr:wsDr>
</file>

<file path=xl/drawings/drawing6.xml><?xml version="1.0" encoding="utf-8"?>
<xdr:wsDr xmlns:xdr="http://schemas.openxmlformats.org/drawingml/2006/spreadsheetDrawing" xmlns:a="http://schemas.openxmlformats.org/drawingml/2006/main">
  <xdr:twoCellAnchor>
    <xdr:from>
      <xdr:col>1</xdr:col>
      <xdr:colOff>0</xdr:colOff>
      <xdr:row>35</xdr:row>
      <xdr:rowOff>0</xdr:rowOff>
    </xdr:from>
    <xdr:to>
      <xdr:col>7</xdr:col>
      <xdr:colOff>0</xdr:colOff>
      <xdr:row>54</xdr:row>
      <xdr:rowOff>0</xdr:rowOff>
    </xdr:to>
    <xdr:graphicFrame macro="">
      <xdr:nvGraphicFramePr>
        <xdr:cNvPr id="2" name="Chart 1" descr="Income and expenses by month chart">
          <a:extLst>
            <a:ext uri="{FF2B5EF4-FFF2-40B4-BE49-F238E27FC236}">
              <a16:creationId xmlns:a16="http://schemas.microsoft.com/office/drawing/2014/main" id="{450E2361-F662-4F74-921F-C8D198A44F1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112487</xdr:colOff>
      <xdr:row>35</xdr:row>
      <xdr:rowOff>0</xdr:rowOff>
    </xdr:from>
    <xdr:to>
      <xdr:col>16</xdr:col>
      <xdr:colOff>4537</xdr:colOff>
      <xdr:row>55</xdr:row>
      <xdr:rowOff>0</xdr:rowOff>
    </xdr:to>
    <xdr:graphicFrame macro="">
      <xdr:nvGraphicFramePr>
        <xdr:cNvPr id="3" name="Chart 2" descr="Total expenses chart">
          <a:extLst>
            <a:ext uri="{FF2B5EF4-FFF2-40B4-BE49-F238E27FC236}">
              <a16:creationId xmlns:a16="http://schemas.microsoft.com/office/drawing/2014/main" id="{553A3B49-2F9A-4992-9E0D-C9C09A3A7E50}"/>
            </a:ext>
            <a:ext uri="{147F2762-F138-4A5C-976F-8EAC2B608ADB}">
              <a16:predDERef xmlns:a16="http://schemas.microsoft.com/office/drawing/2014/main" pred="{9E68B60A-84EF-4C5C-A136-32C64422057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oneCellAnchor>
    <xdr:from>
      <xdr:col>3</xdr:col>
      <xdr:colOff>275401</xdr:colOff>
      <xdr:row>2</xdr:row>
      <xdr:rowOff>19217</xdr:rowOff>
    </xdr:from>
    <xdr:ext cx="4159251" cy="1263484"/>
    <xdr:graphicFrame macro="">
      <xdr:nvGraphicFramePr>
        <xdr:cNvPr id="4" name="IncomeAndExpenses" descr="Clustered column chart showing Total Monthly Income and Total Monthly Expenses">
          <a:extLst>
            <a:ext uri="{FF2B5EF4-FFF2-40B4-BE49-F238E27FC236}">
              <a16:creationId xmlns:a16="http://schemas.microsoft.com/office/drawing/2014/main" id="{36434750-AA77-4395-B773-C484C7B288FA}"/>
            </a:ext>
            <a:ext uri="{147F2762-F138-4A5C-976F-8EAC2B608ADB}">
              <a16:predDERef xmlns:a16="http://schemas.microsoft.com/office/drawing/2014/main" pred="{C35D2FC9-37D4-41E2-AA8F-BB8EB655FD8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10</xdr:col>
      <xdr:colOff>62924</xdr:colOff>
      <xdr:row>2</xdr:row>
      <xdr:rowOff>55274</xdr:rowOff>
    </xdr:from>
    <xdr:ext cx="2121476" cy="1211095"/>
    <xdr:sp macro="" textlink="">
      <xdr:nvSpPr>
        <xdr:cNvPr id="5" name="Rectangle 4">
          <a:extLst>
            <a:ext uri="{FF2B5EF4-FFF2-40B4-BE49-F238E27FC236}">
              <a16:creationId xmlns:a16="http://schemas.microsoft.com/office/drawing/2014/main" id="{B0D76146-0ADE-4AD4-BE8E-71FA0410D7E5}"/>
            </a:ext>
          </a:extLst>
        </xdr:cNvPr>
        <xdr:cNvSpPr/>
      </xdr:nvSpPr>
      <xdr:spPr>
        <a:xfrm>
          <a:off x="7428924" y="442624"/>
          <a:ext cx="2121476" cy="1211095"/>
        </a:xfrm>
        <a:prstGeom prst="rect">
          <a:avLst/>
        </a:prstGeom>
        <a:noFill/>
      </xdr:spPr>
      <xdr:txBody>
        <a:bodyPr wrap="square" lIns="91440" tIns="45720" rIns="91440" bIns="45720">
          <a:noAutofit/>
        </a:bodyPr>
        <a:lstStyle/>
        <a:p>
          <a:r>
            <a:rPr lang="en-US" sz="1200" b="1">
              <a:solidFill>
                <a:srgbClr val="FF0000"/>
              </a:solidFill>
              <a:effectLst/>
              <a:latin typeface="+mn-lt"/>
              <a:ea typeface="+mn-ea"/>
              <a:cs typeface="+mn-cs"/>
            </a:rPr>
            <a:t>For this Annual Budget Tab, please complete the  Monthly Budget tab every month and then copy it to this tab. </a:t>
          </a:r>
        </a:p>
        <a:p>
          <a:r>
            <a:rPr lang="en-US" sz="1200" b="1">
              <a:solidFill>
                <a:srgbClr val="FF0000"/>
              </a:solidFill>
              <a:effectLst/>
              <a:latin typeface="+mn-lt"/>
              <a:ea typeface="+mn-ea"/>
              <a:cs typeface="+mn-cs"/>
            </a:rPr>
            <a:t>This will give a picture of the overall budget for the year. </a:t>
          </a:r>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ymcaofgreatertoronto-my.sharepoint.com/Users/c059bhattaraim/Downloads/Rent%20affordability%20calculator.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ggested rent"/>
    </sheetNames>
    <sheetDataSet>
      <sheetData sheetId="0">
        <row r="3">
          <cell r="E3">
            <v>65000</v>
          </cell>
        </row>
      </sheetData>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Housing" displayName="Housing" ref="B11:E22" totalsRowCount="1" headerRowDxfId="245" dataDxfId="244" totalsRowDxfId="243">
  <autoFilter ref="B11:E21" xr:uid="{00000000-0009-0000-0100-000001000000}">
    <filterColumn colId="0" hiddenButton="1"/>
    <filterColumn colId="1" hiddenButton="1"/>
    <filterColumn colId="2" hiddenButton="1"/>
    <filterColumn colId="3" hiddenButton="1"/>
  </autoFilter>
  <tableColumns count="4">
    <tableColumn id="1" xr3:uid="{00000000-0010-0000-0000-000001000000}" name="HOUSING" totalsRowLabel="Subtotal" dataDxfId="242" totalsRowDxfId="241"/>
    <tableColumn id="2" xr3:uid="{00000000-0010-0000-0000-000002000000}" name="Projected Cost" totalsRowFunction="sum" dataDxfId="240" totalsRowDxfId="239"/>
    <tableColumn id="3" xr3:uid="{00000000-0010-0000-0000-000003000000}" name="Actual Cost" totalsRowFunction="sum" dataDxfId="238" totalsRowDxfId="237"/>
    <tableColumn id="4" xr3:uid="{00000000-0010-0000-0000-000004000000}" name="Difference" totalsRowFunction="sum" dataDxfId="236" totalsRowDxfId="235">
      <calculatedColumnFormula>Housing[[#This Row],[Projected Cost]]-Housing[[#This Row],[Actual Cost]]</calculatedColumnFormula>
    </tableColumn>
  </tableColumns>
  <tableStyleInfo name="Personal monthly budget" showFirstColumn="1" showLastColumn="1" showRowStripes="0" showColumnStripes="0"/>
  <extLst>
    <ext xmlns:x14="http://schemas.microsoft.com/office/spreadsheetml/2009/9/main" uri="{504A1905-F514-4f6f-8877-14C23A59335A}">
      <x14:table altTextSummary="Enter Projected and Actual Housing Costs in this table. Difference is auto calculated"/>
    </ext>
  </extLst>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Entertainment" displayName="Entertainment" ref="G11:J21" totalsRowCount="1" headerRowDxfId="234" dataDxfId="233" totalsRowDxfId="232" headerRowCellStyle="Normal">
  <autoFilter ref="G11:J20" xr:uid="{00000000-0009-0000-0100-000002000000}">
    <filterColumn colId="0" hiddenButton="1"/>
    <filterColumn colId="1" hiddenButton="1"/>
    <filterColumn colId="2" hiddenButton="1"/>
    <filterColumn colId="3" hiddenButton="1"/>
  </autoFilter>
  <tableColumns count="4">
    <tableColumn id="1" xr3:uid="{00000000-0010-0000-0100-000001000000}" name="ENTERTAINMENT" totalsRowLabel="Subtotal" dataDxfId="231" totalsRowDxfId="230"/>
    <tableColumn id="2" xr3:uid="{00000000-0010-0000-0100-000002000000}" name="Projected Cost" totalsRowFunction="sum" dataDxfId="229" totalsRowDxfId="228"/>
    <tableColumn id="3" xr3:uid="{00000000-0010-0000-0100-000003000000}" name="Actual Cost" totalsRowFunction="sum" dataDxfId="227" totalsRowDxfId="226"/>
    <tableColumn id="4" xr3:uid="{00000000-0010-0000-0100-000004000000}" name="Difference" totalsRowFunction="sum" dataDxfId="225" totalsRowDxfId="224">
      <calculatedColumnFormula>Entertainment[[#This Row],[Projected Cost]]-Entertainment[[#This Row],[Actual Cost]]</calculatedColumnFormula>
    </tableColumn>
  </tableColumns>
  <tableStyleInfo name="Personal monthly budget" showFirstColumn="0" showLastColumn="1" showRowStripes="0" showColumnStripes="0"/>
  <extLst>
    <ext xmlns:x14="http://schemas.microsoft.com/office/spreadsheetml/2009/9/main" uri="{504A1905-F514-4f6f-8877-14C23A59335A}">
      <x14:table altTextSummary="Enter Projected and Actual Entertainment Costs in this table. Difference is auto calculated"/>
    </ext>
  </extLst>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Loans" displayName="Loans" ref="G23:J30" totalsRowCount="1" headerRowDxfId="223" dataDxfId="222" totalsRowDxfId="221">
  <autoFilter ref="G23:J29" xr:uid="{00000000-0009-0000-0100-000003000000}">
    <filterColumn colId="0" hiddenButton="1"/>
    <filterColumn colId="1" hiddenButton="1"/>
    <filterColumn colId="2" hiddenButton="1"/>
    <filterColumn colId="3" hiddenButton="1"/>
  </autoFilter>
  <tableColumns count="4">
    <tableColumn id="1" xr3:uid="{00000000-0010-0000-0200-000001000000}" name="LOANS" totalsRowLabel="Subtotal" dataDxfId="220" totalsRowDxfId="219"/>
    <tableColumn id="2" xr3:uid="{00000000-0010-0000-0200-000002000000}" name="Projected Cost" totalsRowFunction="sum" dataDxfId="218" totalsRowDxfId="217"/>
    <tableColumn id="3" xr3:uid="{00000000-0010-0000-0200-000003000000}" name="Actual Cost" totalsRowFunction="sum" dataDxfId="216" totalsRowDxfId="215"/>
    <tableColumn id="4" xr3:uid="{00000000-0010-0000-0200-000004000000}" name="Difference" totalsRowFunction="sum" dataDxfId="214" totalsRowDxfId="213">
      <calculatedColumnFormula>Loans[[#This Row],[Projected Cost]]-Loans[[#This Row],[Actual Cost]]</calculatedColumnFormula>
    </tableColumn>
  </tableColumns>
  <tableStyleInfo name="Personal monthly budget" showFirstColumn="1" showLastColumn="1" showRowStripes="0" showColumnStripes="0"/>
  <extLst>
    <ext xmlns:x14="http://schemas.microsoft.com/office/spreadsheetml/2009/9/main" uri="{504A1905-F514-4f6f-8877-14C23A59335A}">
      <x14:table altTextSummary="Enter Projected and Actual Loan Costs in this table. Difference is auto calculated"/>
    </ext>
  </extLst>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ransportation" displayName="Transportation" ref="B24:E32" totalsRowCount="1" headerRowDxfId="212" dataDxfId="211" totalsRowDxfId="210" headerRowCellStyle="Normal">
  <autoFilter ref="B24:E31" xr:uid="{00000000-0009-0000-0100-000004000000}">
    <filterColumn colId="0" hiddenButton="1"/>
    <filterColumn colId="1" hiddenButton="1"/>
    <filterColumn colId="2" hiddenButton="1"/>
    <filterColumn colId="3" hiddenButton="1"/>
  </autoFilter>
  <tableColumns count="4">
    <tableColumn id="1" xr3:uid="{00000000-0010-0000-0300-000001000000}" name="TRANSPORTATION" totalsRowLabel="Subtotal" dataDxfId="209" totalsRowDxfId="208"/>
    <tableColumn id="2" xr3:uid="{00000000-0010-0000-0300-000002000000}" name="Projected Cost" totalsRowFunction="sum" dataDxfId="207" totalsRowDxfId="206"/>
    <tableColumn id="3" xr3:uid="{00000000-0010-0000-0300-000003000000}" name="Actual Cost" totalsRowFunction="sum" dataDxfId="205" totalsRowDxfId="204"/>
    <tableColumn id="4" xr3:uid="{00000000-0010-0000-0300-000004000000}" name="Difference" totalsRowFunction="sum" dataDxfId="203" totalsRowDxfId="202">
      <calculatedColumnFormula>Transportation[[#This Row],[Projected Cost]]-Transportation[[#This Row],[Actual Cost]]</calculatedColumnFormula>
    </tableColumn>
  </tableColumns>
  <tableStyleInfo name="Personal monthly budget" showFirstColumn="1" showLastColumn="1" showRowStripes="0" showColumnStripes="0"/>
  <extLst>
    <ext xmlns:x14="http://schemas.microsoft.com/office/spreadsheetml/2009/9/main" uri="{504A1905-F514-4f6f-8877-14C23A59335A}">
      <x14:table altTextSummary="Enter Projected and Actual Transportation Costs in this table. Difference is auto calculated"/>
    </ext>
  </extLst>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4000000}" name="Insurance" displayName="Insurance" ref="B34:E39" totalsRowCount="1" headerRowDxfId="201" dataDxfId="200" totalsRowDxfId="199" headerRowCellStyle="Normal">
  <autoFilter ref="B34:E38" xr:uid="{00000000-0009-0000-0100-000005000000}">
    <filterColumn colId="0" hiddenButton="1"/>
    <filterColumn colId="1" hiddenButton="1"/>
    <filterColumn colId="2" hiddenButton="1"/>
    <filterColumn colId="3" hiddenButton="1"/>
  </autoFilter>
  <tableColumns count="4">
    <tableColumn id="1" xr3:uid="{00000000-0010-0000-0400-000001000000}" name="INSURANCE" totalsRowLabel="Subtotal" dataDxfId="198" totalsRowDxfId="197"/>
    <tableColumn id="2" xr3:uid="{00000000-0010-0000-0400-000002000000}" name="Projected Cost" totalsRowFunction="sum" dataDxfId="196" totalsRowDxfId="195"/>
    <tableColumn id="3" xr3:uid="{00000000-0010-0000-0400-000003000000}" name="Actual Cost" totalsRowFunction="sum" dataDxfId="194" totalsRowDxfId="193"/>
    <tableColumn id="4" xr3:uid="{00000000-0010-0000-0400-000004000000}" name="Difference" totalsRowFunction="sum" dataDxfId="192" totalsRowDxfId="191">
      <calculatedColumnFormula>Insurance[[#This Row],[Projected Cost]]-Insurance[[#This Row],[Actual Cost]]</calculatedColumnFormula>
    </tableColumn>
  </tableColumns>
  <tableStyleInfo name="Personal monthly budget" showFirstColumn="1" showLastColumn="1" showRowStripes="0" showColumnStripes="0"/>
  <extLst>
    <ext xmlns:x14="http://schemas.microsoft.com/office/spreadsheetml/2009/9/main" uri="{504A1905-F514-4f6f-8877-14C23A59335A}">
      <x14:table altTextSummary="Enter Projected and Actual Insurance Costs in this table. Difference is auto calculated"/>
    </ext>
  </extLst>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5000000}" name="Taxes" displayName="Taxes" ref="G32:J37" totalsRowCount="1" headerRowDxfId="190" dataDxfId="189" totalsRowDxfId="188" headerRowCellStyle="Normal">
  <autoFilter ref="G32:J36" xr:uid="{00000000-0009-0000-0100-000006000000}">
    <filterColumn colId="0" hiddenButton="1"/>
    <filterColumn colId="1" hiddenButton="1"/>
    <filterColumn colId="2" hiddenButton="1"/>
    <filterColumn colId="3" hiddenButton="1"/>
  </autoFilter>
  <tableColumns count="4">
    <tableColumn id="1" xr3:uid="{00000000-0010-0000-0500-000001000000}" name="TAXES" totalsRowLabel="Subtotal" dataDxfId="187" totalsRowDxfId="186"/>
    <tableColumn id="2" xr3:uid="{00000000-0010-0000-0500-000002000000}" name="Projected Cost" totalsRowFunction="sum" dataDxfId="185" totalsRowDxfId="184"/>
    <tableColumn id="3" xr3:uid="{00000000-0010-0000-0500-000003000000}" name="Actual Cost" totalsRowFunction="sum" dataDxfId="183" totalsRowDxfId="182"/>
    <tableColumn id="4" xr3:uid="{00000000-0010-0000-0500-000004000000}" name="Difference" totalsRowFunction="sum" dataDxfId="181" totalsRowDxfId="180">
      <calculatedColumnFormula>Taxes[[#This Row],[Projected Cost]]-Taxes[[#This Row],[Actual Cost]]</calculatedColumnFormula>
    </tableColumn>
  </tableColumns>
  <tableStyleInfo name="Personal monthly budget" showFirstColumn="1" showLastColumn="1" showRowStripes="0" showColumnStripes="0"/>
  <extLst>
    <ext xmlns:x14="http://schemas.microsoft.com/office/spreadsheetml/2009/9/main" uri="{504A1905-F514-4f6f-8877-14C23A59335A}">
      <x14:table altTextSummary="Enter Projected and Actual Taxes Costs in this table. Difference is auto calculated"/>
    </ext>
  </extLst>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6000000}" name="Savings" displayName="Savings" ref="G39:J43" totalsRowCount="1" headerRowDxfId="179" dataDxfId="178" totalsRowDxfId="177" headerRowCellStyle="Normal">
  <autoFilter ref="G39:J42" xr:uid="{00000000-0009-0000-0100-000007000000}">
    <filterColumn colId="0" hiddenButton="1"/>
    <filterColumn colId="1" hiddenButton="1"/>
    <filterColumn colId="2" hiddenButton="1"/>
    <filterColumn colId="3" hiddenButton="1"/>
  </autoFilter>
  <tableColumns count="4">
    <tableColumn id="1" xr3:uid="{00000000-0010-0000-0600-000001000000}" name="SAVINGS OR INVESTMENTS" totalsRowLabel="Subtotal" dataDxfId="176" totalsRowDxfId="175"/>
    <tableColumn id="2" xr3:uid="{00000000-0010-0000-0600-000002000000}" name="Projected Cost" totalsRowFunction="sum" dataDxfId="174" totalsRowDxfId="173"/>
    <tableColumn id="3" xr3:uid="{00000000-0010-0000-0600-000003000000}" name="Actual Cost" totalsRowFunction="sum" dataDxfId="172" totalsRowDxfId="171"/>
    <tableColumn id="4" xr3:uid="{00000000-0010-0000-0600-000004000000}" name="Difference" totalsRowFunction="sum" dataDxfId="170" totalsRowDxfId="169">
      <calculatedColumnFormula>Savings[[#This Row],[Projected Cost]]-Savings[[#This Row],[Actual Cost]]</calculatedColumnFormula>
    </tableColumn>
  </tableColumns>
  <tableStyleInfo name="Personal monthly budget" showFirstColumn="1" showLastColumn="1" showRowStripes="0" showColumnStripes="0"/>
  <extLst>
    <ext xmlns:x14="http://schemas.microsoft.com/office/spreadsheetml/2009/9/main" uri="{504A1905-F514-4f6f-8877-14C23A59335A}">
      <x14:table altTextSummary="Enter Projected and Actual Costs for Savings or Investments in this table. Difference is auto calculated"/>
    </ext>
  </extLst>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7000000}" name="Food" displayName="Food" ref="B41:E45" totalsRowCount="1" headerRowDxfId="168" dataDxfId="167" totalsRowDxfId="166" headerRowCellStyle="Normal">
  <autoFilter ref="B41:E44" xr:uid="{00000000-0009-0000-0100-000008000000}">
    <filterColumn colId="0" hiddenButton="1"/>
    <filterColumn colId="1" hiddenButton="1"/>
    <filterColumn colId="2" hiddenButton="1"/>
    <filterColumn colId="3" hiddenButton="1"/>
  </autoFilter>
  <tableColumns count="4">
    <tableColumn id="1" xr3:uid="{00000000-0010-0000-0700-000001000000}" name="FOOD" totalsRowLabel="Subtotal" dataDxfId="165" totalsRowDxfId="164"/>
    <tableColumn id="2" xr3:uid="{00000000-0010-0000-0700-000002000000}" name="Projected Cost" totalsRowFunction="sum" dataDxfId="163" totalsRowDxfId="162"/>
    <tableColumn id="3" xr3:uid="{00000000-0010-0000-0700-000003000000}" name="Actual Cost" totalsRowFunction="sum" dataDxfId="161" totalsRowDxfId="160"/>
    <tableColumn id="4" xr3:uid="{00000000-0010-0000-0700-000004000000}" name="Difference" totalsRowFunction="sum" dataDxfId="159" totalsRowDxfId="158">
      <calculatedColumnFormula>Food[[#This Row],[Projected Cost]]-Food[[#This Row],[Actual Cost]]</calculatedColumnFormula>
    </tableColumn>
  </tableColumns>
  <tableStyleInfo name="Personal monthly budget" showFirstColumn="1" showLastColumn="1" showRowStripes="0" showColumnStripes="0"/>
  <extLst>
    <ext xmlns:x14="http://schemas.microsoft.com/office/spreadsheetml/2009/9/main" uri="{504A1905-F514-4f6f-8877-14C23A59335A}">
      <x14:table altTextSummary="Enter Projected and Actual Food Costs in this table. Difference is auto calculated"/>
    </ext>
  </extLst>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8000000}" name="Gifts" displayName="Gifts" ref="G45:J49" totalsRowCount="1" headerRowDxfId="157" dataDxfId="156" totalsRowDxfId="155" headerRowCellStyle="Normal">
  <autoFilter ref="G45:J48" xr:uid="{00000000-0009-0000-0100-000009000000}">
    <filterColumn colId="0" hiddenButton="1"/>
    <filterColumn colId="1" hiddenButton="1"/>
    <filterColumn colId="2" hiddenButton="1"/>
    <filterColumn colId="3" hiddenButton="1"/>
  </autoFilter>
  <tableColumns count="4">
    <tableColumn id="1" xr3:uid="{00000000-0010-0000-0800-000001000000}" name="GIFTS AND DONATIONS" totalsRowLabel="Subtotal" dataDxfId="154" totalsRowDxfId="153"/>
    <tableColumn id="2" xr3:uid="{00000000-0010-0000-0800-000002000000}" name="Projected Cost" totalsRowFunction="sum" dataDxfId="152" totalsRowDxfId="151"/>
    <tableColumn id="3" xr3:uid="{00000000-0010-0000-0800-000003000000}" name="Actual Cost" totalsRowFunction="sum" dataDxfId="150" totalsRowDxfId="149"/>
    <tableColumn id="4" xr3:uid="{00000000-0010-0000-0800-000004000000}" name="Difference" totalsRowFunction="sum" dataDxfId="148" totalsRowDxfId="147">
      <calculatedColumnFormula>Gifts[[#This Row],[Projected Cost]]-Gifts[[#This Row],[Actual Cost]]</calculatedColumnFormula>
    </tableColumn>
  </tableColumns>
  <tableStyleInfo name="Personal monthly budget" showFirstColumn="1" showLastColumn="1" showRowStripes="0" showColumnStripes="0"/>
  <extLst>
    <ext xmlns:x14="http://schemas.microsoft.com/office/spreadsheetml/2009/9/main" uri="{504A1905-F514-4f6f-8877-14C23A59335A}">
      <x14:table altTextSummary="Enter Projected and Actual Costs for Gifts and Donations in this table. Difference is auto calculated"/>
    </ext>
  </extLst>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9000000}" name="Pets" displayName="Pets" ref="B47:E53" totalsRowCount="1" headerRowDxfId="146" dataDxfId="145" totalsRowDxfId="144">
  <autoFilter ref="B47:E52" xr:uid="{00000000-0009-0000-0100-00000A000000}">
    <filterColumn colId="0" hiddenButton="1"/>
    <filterColumn colId="1" hiddenButton="1"/>
    <filterColumn colId="2" hiddenButton="1"/>
    <filterColumn colId="3" hiddenButton="1"/>
  </autoFilter>
  <tableColumns count="4">
    <tableColumn id="1" xr3:uid="{00000000-0010-0000-0900-000001000000}" name="PETS" totalsRowLabel="Subtotal" dataDxfId="143" totalsRowDxfId="142"/>
    <tableColumn id="2" xr3:uid="{00000000-0010-0000-0900-000002000000}" name="Projected Cost" totalsRowFunction="sum" dataDxfId="141" totalsRowDxfId="140"/>
    <tableColumn id="3" xr3:uid="{00000000-0010-0000-0900-000003000000}" name="Actual Cost" totalsRowFunction="sum" dataDxfId="139" totalsRowDxfId="138"/>
    <tableColumn id="4" xr3:uid="{00000000-0010-0000-0900-000004000000}" name="Difference" totalsRowFunction="sum" dataDxfId="137" totalsRowDxfId="136">
      <calculatedColumnFormula>Pets[[#This Row],[Projected Cost]]-Pets[[#This Row],[Actual Cost]]</calculatedColumnFormula>
    </tableColumn>
  </tableColumns>
  <tableStyleInfo name="Personal monthly budget" showFirstColumn="1" showLastColumn="1" showRowStripes="0" showColumnStripes="0"/>
  <extLst>
    <ext xmlns:x14="http://schemas.microsoft.com/office/spreadsheetml/2009/9/main" uri="{504A1905-F514-4f6f-8877-14C23A59335A}">
      <x14:table altTextSummary="Enter Projected and Actual Pets Costs in this table. Difference is auto calculated"/>
    </ext>
  </extLst>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A000000}" name="Legal" displayName="Legal" ref="G51:J56" totalsRowCount="1" headerRowDxfId="135" dataDxfId="134" totalsRowDxfId="133" headerRowCellStyle="Normal">
  <autoFilter ref="G51:J55" xr:uid="{00000000-0009-0000-0100-00000B000000}">
    <filterColumn colId="0" hiddenButton="1"/>
    <filterColumn colId="1" hiddenButton="1"/>
    <filterColumn colId="2" hiddenButton="1"/>
    <filterColumn colId="3" hiddenButton="1"/>
  </autoFilter>
  <tableColumns count="4">
    <tableColumn id="1" xr3:uid="{00000000-0010-0000-0A00-000001000000}" name="LEGAL" totalsRowLabel="Subtotal" dataDxfId="132" totalsRowDxfId="131"/>
    <tableColumn id="2" xr3:uid="{00000000-0010-0000-0A00-000002000000}" name="Projected Cost" totalsRowFunction="sum" dataDxfId="130" totalsRowDxfId="129"/>
    <tableColumn id="3" xr3:uid="{00000000-0010-0000-0A00-000003000000}" name="Actual Cost" totalsRowFunction="sum" dataDxfId="128" totalsRowDxfId="127"/>
    <tableColumn id="4" xr3:uid="{00000000-0010-0000-0A00-000004000000}" name="Difference" totalsRowFunction="sum" dataDxfId="126" totalsRowDxfId="125">
      <calculatedColumnFormula>Legal[[#This Row],[Projected Cost]]-Legal[[#This Row],[Actual Cost]]</calculatedColumnFormula>
    </tableColumn>
  </tableColumns>
  <tableStyleInfo name="Personal monthly budget" showFirstColumn="1" showLastColumn="1" showRowStripes="0" showColumnStripes="0"/>
  <extLst>
    <ext xmlns:x14="http://schemas.microsoft.com/office/spreadsheetml/2009/9/main" uri="{504A1905-F514-4f6f-8877-14C23A59335A}">
      <x14:table altTextSummary="Enter Projected and Actual Legal Costs in this table. Difference is auto calculated"/>
    </ext>
  </extLst>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B000000}" name="PersonalCare" displayName="PersonalCare" ref="B55:E63" totalsRowCount="1" headerRowDxfId="124" dataDxfId="123" totalsRowDxfId="122">
  <autoFilter ref="B55:E62" xr:uid="{00000000-0009-0000-0100-00000C000000}">
    <filterColumn colId="0" hiddenButton="1"/>
    <filterColumn colId="1" hiddenButton="1"/>
    <filterColumn colId="2" hiddenButton="1"/>
    <filterColumn colId="3" hiddenButton="1"/>
  </autoFilter>
  <tableColumns count="4">
    <tableColumn id="1" xr3:uid="{00000000-0010-0000-0B00-000001000000}" name="PERSONAL CARE" totalsRowLabel="Subtotal" dataDxfId="121" totalsRowDxfId="120"/>
    <tableColumn id="2" xr3:uid="{00000000-0010-0000-0B00-000002000000}" name="Projected Cost" totalsRowFunction="sum" dataDxfId="119" totalsRowDxfId="118"/>
    <tableColumn id="3" xr3:uid="{00000000-0010-0000-0B00-000003000000}" name="Actual Cost" totalsRowFunction="sum" dataDxfId="117" totalsRowDxfId="116"/>
    <tableColumn id="4" xr3:uid="{00000000-0010-0000-0B00-000004000000}" name="Difference" totalsRowFunction="sum" dataDxfId="115" totalsRowDxfId="114">
      <calculatedColumnFormula>PersonalCare[[#This Row],[Projected Cost]]-PersonalCare[[#This Row],[Actual Cost]]</calculatedColumnFormula>
    </tableColumn>
  </tableColumns>
  <tableStyleInfo name="Personal monthly budget" showFirstColumn="1" showLastColumn="1" showRowStripes="0" showColumnStripes="0"/>
  <extLst>
    <ext xmlns:x14="http://schemas.microsoft.com/office/spreadsheetml/2009/9/main" uri="{504A1905-F514-4f6f-8877-14C23A59335A}">
      <x14:table altTextSummary="Enter Projected and Actual Personal Care Costs in this table. Difference is auto calculated"/>
    </ext>
  </extLst>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8BC569AD-5B94-40EB-9C15-1B2E3CBBD32B}" name="Loan" displayName="Loan" ref="A13:G133" headerRowDxfId="113" dataDxfId="111" totalsRowDxfId="110" headerRowBorderDxfId="112" headerRowCellStyle="Heading 3" dataCellStyle="Currency">
  <autoFilter ref="A13:G133" xr:uid="{A92410F0-89C4-440A-825D-9517A36FA3FC}"/>
  <tableColumns count="7">
    <tableColumn id="1" xr3:uid="{715561C4-4FB6-4CEF-B11A-415E0D75EF3A}" name="No." totalsRowLabel="Total" dataDxfId="109" totalsRowDxfId="108" dataCellStyle="Comma">
      <calculatedColumnFormula>IFERROR(IF(Loan_Not_Paid*Values_Entered,Payment_Number,""), "")</calculatedColumnFormula>
    </tableColumn>
    <tableColumn id="2" xr3:uid="{3B0CD228-D6D7-4E6C-8F9C-F2DC1D26C847}" name="Payment date" dataDxfId="107" totalsRowDxfId="106" dataCellStyle="Date">
      <calculatedColumnFormula>IFERROR(IF(Loan_Not_Paid*Values_Entered,Payment_Date,""), "")</calculatedColumnFormula>
    </tableColumn>
    <tableColumn id="3" xr3:uid="{FED603E9-4EA9-499D-9E9F-FFD42508DE4B}" name="Beginning balance" dataDxfId="105" totalsRowDxfId="104" dataCellStyle="Currency">
      <calculatedColumnFormula>IFERROR(IF(Loan_Not_Paid*Values_Entered,Beginning_Balance,""), "")</calculatedColumnFormula>
    </tableColumn>
    <tableColumn id="4" xr3:uid="{0FD3752D-F6CC-4EBF-BE46-E901D04AE2B3}" name="Payment" dataDxfId="103" totalsRowDxfId="102" dataCellStyle="Currency">
      <calculatedColumnFormula>IFERROR(IF(Loan_Not_Paid*Values_Entered,Monthly_Payment,""), "")</calculatedColumnFormula>
    </tableColumn>
    <tableColumn id="5" xr3:uid="{372C7C57-9BF9-4637-9A32-1EA874F8A524}" name="Principal" dataDxfId="101" totalsRowDxfId="100" dataCellStyle="Currency">
      <calculatedColumnFormula>IFERROR(IF(Loan_Not_Paid*Values_Entered,Principal,""), "")</calculatedColumnFormula>
    </tableColumn>
    <tableColumn id="6" xr3:uid="{953BC51D-CBC6-4161-BE4E-F4CDCE8FD23D}" name="Interest" dataDxfId="99" totalsRowDxfId="98" dataCellStyle="Currency">
      <calculatedColumnFormula>IFERROR(IF(Loan_Not_Paid*Values_Entered,Interest,""), "")</calculatedColumnFormula>
    </tableColumn>
    <tableColumn id="7" xr3:uid="{287BD45B-9F4D-4492-80BD-1D68DFE66E61}" name="Ending balance" totalsRowFunction="count" dataDxfId="97" totalsRowDxfId="96" dataCellStyle="Currency">
      <calculatedColumnFormula>IFERROR(IF(Loan_Not_Paid*Values_Entered,Ending_Balance,""), "")</calculatedColumnFormula>
    </tableColumn>
  </tableColumns>
  <tableStyleInfo name="Light Table" showFirstColumn="0" showLastColumn="1" showRowStripes="0" showColumnStripes="0"/>
  <extLst>
    <ext xmlns:x14="http://schemas.microsoft.com/office/spreadsheetml/2009/9/main" uri="{504A1905-F514-4f6f-8877-14C23A59335A}">
      <x14:table altTextSummary="Track Payment Number, Payment Date, Beginning Balance, Payment, Principal, Interest amounts, and Ending Balance"/>
    </ext>
  </extLst>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54F19E70-D03D-4E64-A99E-E089DC3D859E}" name="CollegeLoans18" displayName="CollegeLoans18" ref="C10:O17" totalsRowCount="1" headerRowDxfId="95" dataDxfId="94" totalsRowDxfId="93">
  <tableColumns count="13">
    <tableColumn id="1" xr3:uid="{00000000-0010-0000-0000-000001000000}" name="Loan No." totalsRowLabel="Totals" dataDxfId="92" totalsRowDxfId="91" totalsRowCellStyle="Normal 2"/>
    <tableColumn id="3" xr3:uid="{00000000-0010-0000-0000-000003000000}" name="Lender" dataDxfId="90" totalsRowDxfId="89" totalsRowCellStyle="Normal 2"/>
    <tableColumn id="6" xr3:uid="{00000000-0010-0000-0000-000006000000}" name="Loan Amount" totalsRowFunction="sum" dataDxfId="88" totalsRowDxfId="87" totalsRowCellStyle="Normal 2"/>
    <tableColumn id="7" xr3:uid="{00000000-0010-0000-0000-000007000000}" name="Annual Interest Rate" dataDxfId="86" totalsRowDxfId="85" totalsRowCellStyle="Normal 2"/>
    <tableColumn id="14" xr3:uid="{45E2C64F-BB22-374A-BBE0-D04B49685666}" name="Column1" dataDxfId="84" totalsRowDxfId="83" dataCellStyle="Percent" totalsRowCellStyle="Normal 2"/>
    <tableColumn id="4" xr3:uid="{00000000-0010-0000-0000-000004000000}" name="Beginning Date" dataDxfId="82" totalsRowDxfId="81" totalsRowCellStyle="Normal 2"/>
    <tableColumn id="9" xr3:uid="{00000000-0010-0000-0000-000009000000}" name="Length (Yrs)" dataDxfId="80" totalsRowDxfId="79" totalsRowCellStyle="Normal 2"/>
    <tableColumn id="5" xr3:uid="{00000000-0010-0000-0000-000005000000}" name="Ending Date" dataDxfId="78" totalsRowDxfId="77" totalsRowCellStyle="Normal 2">
      <calculatedColumnFormula>IF(AND(CollegeLoans18[[#This Row],[Beginning Date]]&gt;0,CollegeLoans18[[#This Row],[Length (Yrs)]]&gt;0),EDATE(CollegeLoans18[[#This Row],[Beginning Date]],CollegeLoans18[[#This Row],[Length (Yrs)]]*12),"")</calculatedColumnFormula>
    </tableColumn>
    <tableColumn id="16" xr3:uid="{4F61C5E2-45E0-3E4A-97B3-1959F99EA571}" name="Column2" dataDxfId="76" totalsRowDxfId="75" totalsRowCellStyle="Normal 2"/>
    <tableColumn id="8" xr3:uid="{00000000-0010-0000-0000-000008000000}" name="Current Monthly Payment" totalsRowFunction="sum" dataDxfId="74" totalsRowDxfId="73" dataCellStyle="Currency" totalsRowCellStyle="Normal 2">
      <calculatedColumnFormula>IFERROR(IF(AND(LoanStartLToday,COUNT(CollegeLoans18[[#This Row],[Loan Amount]:[Length (Yrs)]])=4,CollegeLoans18[[#This Row],[Beginning Date]]&lt;=TODAY()),PMT(CollegeLoans18[[#This Row],[Annual Interest Rate]]/12,CollegeLoans18[[#This Row],[Length (Yrs)]]*12,-CollegeLoans18[[#This Row],[Loan Amount]],0,0),""),0)</calculatedColumnFormula>
    </tableColumn>
    <tableColumn id="13" xr3:uid="{00000000-0010-0000-0000-00000D000000}" name="Total Interest" totalsRowFunction="sum" dataDxfId="72" totalsRowDxfId="71" totalsRowCellStyle="Normal 2">
      <calculatedColumnFormula>IFERROR((CollegeLoans18[[#This Row],[Scheduled Payment]]*(CollegeLoans18[[#This Row],[Length (Yrs)]]*12))-CollegeLoans18[[#This Row],[Loan Amount]],"")</calculatedColumnFormula>
    </tableColumn>
    <tableColumn id="11" xr3:uid="{00000000-0010-0000-0000-00000B000000}" name="Scheduled Payment" totalsRowFunction="sum" dataDxfId="70" totalsRowDxfId="69" totalsRowCellStyle="Normal 2">
      <calculatedColumnFormula>IF(COUNTA(CollegeLoans18[[#This Row],[Loan Amount]:[Length (Yrs)]])&lt;&gt;4,"",PMT(CollegeLoans18[[#This Row],[Annual Interest Rate]]/12,CollegeLoans18[[#This Row],[Length (Yrs)]]*12,-CollegeLoans18[[#This Row],[Loan Amount]],0,0))</calculatedColumnFormula>
    </tableColumn>
    <tableColumn id="2" xr3:uid="{00000000-0010-0000-0000-000002000000}" name="Annual Payment" totalsRowFunction="sum" dataDxfId="68" totalsRowDxfId="67" totalsRowCellStyle="Normal 2">
      <calculatedColumnFormula>IFERROR(CollegeLoans18[[#This Row],[Scheduled Payment]]*12,"")</calculatedColumnFormula>
    </tableColumn>
  </tableColumns>
  <tableStyleInfo name="College Loan Calculator" showFirstColumn="0" showLastColumn="0" showRowStripes="1" showColumnStripes="0"/>
  <extLst>
    <ext xmlns:x14="http://schemas.microsoft.com/office/spreadsheetml/2009/9/main" uri="{504A1905-F514-4f6f-8877-14C23A59335A}">
      <x14:table altTextSummary="Enter Loan Number, Lender, Loan Amount, Annual Interest rate, Beginning date and Length of Loan in Years in this table. End Date, Current, Scheduled, and Annual Payments, Total Interest amount are auto calculated"/>
    </ext>
  </extLst>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C4930-43D9-4E29-B9BC-087F1AEE5FB2}" name="Expenses" displayName="Expenses" ref="B20:P34" totalsRowCount="1" headerRowDxfId="66" dataDxfId="64" totalsRowDxfId="63" headerRowBorderDxfId="65">
  <autoFilter ref="B20:P33" xr:uid="{052B60F2-6A2A-41E4-B306-63C7F82ACC1C}">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autoFilter>
  <tableColumns count="15">
    <tableColumn id="1" xr3:uid="{9B02C4AA-59FE-4F33-A818-82D236FBD218}" name="Item" totalsRowLabel="Total" dataDxfId="62" totalsRowDxfId="61" dataCellStyle="Normal"/>
    <tableColumn id="2" xr3:uid="{3AD6DF15-CAB2-43BC-A24D-634A37B2D7CE}" name="Jan" totalsRowFunction="sum" dataDxfId="60" totalsRowDxfId="59" dataCellStyle="Currency"/>
    <tableColumn id="3" xr3:uid="{906EC369-0EF7-4CEE-8FED-F79AF685DF2D}" name="Feb" totalsRowFunction="sum" dataDxfId="58" totalsRowDxfId="57" dataCellStyle="Currency"/>
    <tableColumn id="4" xr3:uid="{1D9F03B8-39C1-426C-9751-D711D4CA4866}" name="Mar" totalsRowFunction="sum" dataDxfId="56" totalsRowDxfId="55" dataCellStyle="Currency"/>
    <tableColumn id="5" xr3:uid="{11A68AB7-C104-404C-87C2-326CFC5BFCC9}" name="Apr" totalsRowFunction="sum" dataDxfId="54" totalsRowDxfId="53" dataCellStyle="Currency"/>
    <tableColumn id="6" xr3:uid="{14FBEADA-FDED-4EFB-9100-0AD87027AB32}" name="May" totalsRowFunction="sum" dataDxfId="52" totalsRowDxfId="51" dataCellStyle="Currency"/>
    <tableColumn id="7" xr3:uid="{1A81C807-0F0C-4ED4-B90E-8597CE77C676}" name="Jun" totalsRowFunction="sum" dataDxfId="50" totalsRowDxfId="49" dataCellStyle="Currency"/>
    <tableColumn id="8" xr3:uid="{2CB91FFC-D5FC-4CA0-AA79-C066BCF85EE3}" name="Jul" totalsRowFunction="sum" dataDxfId="48" totalsRowDxfId="47" dataCellStyle="Currency"/>
    <tableColumn id="9" xr3:uid="{97D78DF2-B1EE-456F-8547-123CC2702781}" name="Aug" totalsRowFunction="sum" dataDxfId="46" totalsRowDxfId="45" dataCellStyle="Currency"/>
    <tableColumn id="10" xr3:uid="{5289E318-2FE2-443B-80F8-216BA018FA11}" name="Sep" totalsRowFunction="sum" dataDxfId="44" totalsRowDxfId="43" dataCellStyle="Currency"/>
    <tableColumn id="11" xr3:uid="{71659D0C-FD87-4104-BF44-1C664B51B7AA}" name="Oct" totalsRowFunction="sum" dataDxfId="42" totalsRowDxfId="41" dataCellStyle="Currency"/>
    <tableColumn id="12" xr3:uid="{4628989A-7973-456A-8C5A-A8A6D57C7547}" name="Nov" totalsRowFunction="sum" dataDxfId="40" totalsRowDxfId="39" dataCellStyle="Currency"/>
    <tableColumn id="13" xr3:uid="{F5457BF1-3FEA-4D1C-9523-67D19B404A94}" name="Dec" totalsRowFunction="sum" dataDxfId="38" totalsRowDxfId="37" dataCellStyle="Currency"/>
    <tableColumn id="14" xr3:uid="{C70A117F-DC84-4241-A5C1-4219902645AD}" name="Total" totalsRowFunction="sum" dataDxfId="36" totalsRowDxfId="35" dataCellStyle="Currency">
      <calculatedColumnFormula>SUM(Expenses[[#This Row],[Jan]:[Dec]])</calculatedColumnFormula>
    </tableColumn>
    <tableColumn id="15" xr3:uid="{425A025C-4D6D-4171-B4AE-BE335F79F839}" name="Average" totalsRowFunction="average" dataDxfId="34" totalsRowDxfId="33" dataCellStyle="Currency">
      <calculatedColumnFormula>AVERAGE(Expenses[[#This Row],[Jan]:[Dec]])</calculatedColumnFormula>
    </tableColumn>
  </tableColumns>
  <tableStyleInfo name="Simple Monthly Budget 2" showFirstColumn="0" showLastColumn="0" showRowStripes="1" showColumnStripes="0"/>
  <extLst>
    <ext xmlns:x14="http://schemas.microsoft.com/office/spreadsheetml/2009/9/main" uri="{504A1905-F514-4f6f-8877-14C23A59335A}">
      <x14:table altTextSummary="Enter Monthly Expense Items and corresponding Amounts in this table"/>
    </ext>
  </extLst>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554FF955-2F56-44C3-8CBD-30D53F2910B6}" name="Income" displayName="Income" ref="B12:P17" totalsRowCount="1" headerRowDxfId="32" dataDxfId="31" totalsRowDxfId="30">
  <autoFilter ref="B12:P16" xr:uid="{2826007E-9D36-4A01-B502-D3C26CD7DADA}">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autoFilter>
  <tableColumns count="15">
    <tableColumn id="1" xr3:uid="{F6960271-84BF-4E1E-AB88-2CEBF69F5991}" name="Item" totalsRowLabel="Total" dataDxfId="29" totalsRowDxfId="28" dataCellStyle="Normal"/>
    <tableColumn id="2" xr3:uid="{4DE24E8E-9814-4B87-B5B2-742308E21B1C}" name="Jan" totalsRowFunction="sum" dataDxfId="27" totalsRowDxfId="26" dataCellStyle="Currency"/>
    <tableColumn id="3" xr3:uid="{0BE416BC-EC9C-4F9F-9256-F360B7F10AD7}" name="Feb" totalsRowFunction="sum" dataDxfId="25" totalsRowDxfId="24"/>
    <tableColumn id="4" xr3:uid="{1C8A3E5A-847B-4CBC-AC25-A7F3006813B8}" name="Mar" totalsRowFunction="sum" dataDxfId="23" totalsRowDxfId="22"/>
    <tableColumn id="5" xr3:uid="{16AA1869-5314-4F30-874C-2424C9942EFA}" name="Apr" totalsRowFunction="sum" dataDxfId="21" totalsRowDxfId="20"/>
    <tableColumn id="6" xr3:uid="{08F9B2A8-95EA-420C-8DDD-9DCFADF69BD3}" name="May" totalsRowFunction="sum" dataDxfId="19" totalsRowDxfId="18"/>
    <tableColumn id="7" xr3:uid="{9174C30F-0B10-488A-87D0-F67C5A1CEC32}" name="Jun" totalsRowFunction="sum" dataDxfId="17" totalsRowDxfId="16"/>
    <tableColumn id="8" xr3:uid="{ACD6B6A6-F941-4C91-A846-17A0F4645CD1}" name="Jul" totalsRowFunction="sum" dataDxfId="15" totalsRowDxfId="14"/>
    <tableColumn id="9" xr3:uid="{DEE75E9D-57A5-4131-8CB6-5D5D78968BC6}" name="Aug" totalsRowFunction="sum" dataDxfId="13" totalsRowDxfId="12"/>
    <tableColumn id="10" xr3:uid="{8AB528C6-0C73-4483-B3D5-E013F0F73A4D}" name="Sep" totalsRowFunction="sum" dataDxfId="11" totalsRowDxfId="10"/>
    <tableColumn id="11" xr3:uid="{98E12DA2-9B82-46BD-9899-2A9274A65B32}" name="Oct" totalsRowFunction="sum" dataDxfId="9" totalsRowDxfId="8"/>
    <tableColumn id="12" xr3:uid="{CCF698C4-4E2A-417B-821D-245AE6D1778F}" name="Nov" totalsRowFunction="sum" dataDxfId="7" totalsRowDxfId="6"/>
    <tableColumn id="13" xr3:uid="{0D772E6B-FCAB-4B2E-AA3D-4B3D8165F74D}" name="Dec" totalsRowFunction="sum" dataDxfId="5" totalsRowDxfId="4"/>
    <tableColumn id="14" xr3:uid="{5237C918-25EA-4071-889D-7C2F8A576286}" name="Total" totalsRowFunction="sum" dataDxfId="3" totalsRowDxfId="2" dataCellStyle="Currency">
      <calculatedColumnFormula>SUM(Income[[#This Row],[Jan]:[Dec]])</calculatedColumnFormula>
    </tableColumn>
    <tableColumn id="15" xr3:uid="{B71D94A2-E8BE-4680-982E-69349A884878}" name="Average" totalsRowFunction="average" dataDxfId="1" totalsRowDxfId="0" dataCellStyle="Currency">
      <calculatedColumnFormula>AVERAGE(Income[[#This Row],[Jan]:[Dec]])</calculatedColumnFormula>
    </tableColumn>
  </tableColumns>
  <tableStyleInfo name="Simple Monthly Budget 2" showFirstColumn="0" showLastColumn="0" showRowStripes="1" showColumnStripes="0"/>
  <extLst>
    <ext xmlns:x14="http://schemas.microsoft.com/office/spreadsheetml/2009/9/main" uri="{504A1905-F514-4f6f-8877-14C23A59335A}">
      <x14:table altTextSummary="Enter Monthly Income Items and corresponding Amounts in this table"/>
    </ext>
  </extLst>
</table>
</file>

<file path=xl/theme/theme1.xml><?xml version="1.0" encoding="utf-8"?>
<a:theme xmlns:a="http://schemas.openxmlformats.org/drawingml/2006/main" name="WeightLossTracker">
  <a:themeElements>
    <a:clrScheme name="WeightLossTracker_colors">
      <a:dk1>
        <a:srgbClr val="000000"/>
      </a:dk1>
      <a:lt1>
        <a:srgbClr val="FFFFFF"/>
      </a:lt1>
      <a:dk2>
        <a:srgbClr val="000000"/>
      </a:dk2>
      <a:lt2>
        <a:srgbClr val="FFFFFF"/>
      </a:lt2>
      <a:accent1>
        <a:srgbClr val="47B0B8"/>
      </a:accent1>
      <a:accent2>
        <a:srgbClr val="FF6B6B"/>
      </a:accent2>
      <a:accent3>
        <a:srgbClr val="556270"/>
      </a:accent3>
      <a:accent4>
        <a:srgbClr val="81B63C"/>
      </a:accent4>
      <a:accent5>
        <a:srgbClr val="ED932C"/>
      </a:accent5>
      <a:accent6>
        <a:srgbClr val="A0729D"/>
      </a:accent6>
      <a:hlink>
        <a:srgbClr val="39ADDC"/>
      </a:hlink>
      <a:folHlink>
        <a:srgbClr val="895EA7"/>
      </a:folHlink>
    </a:clrScheme>
    <a:fontScheme name="Finance charge">
      <a:majorFont>
        <a:latin typeface="Century Gothic"/>
        <a:ea typeface=""/>
        <a:cs typeface=""/>
      </a:majorFont>
      <a:minorFont>
        <a:latin typeface="Calibri"/>
        <a:ea typeface=""/>
        <a:cs typeface=""/>
      </a:minorFont>
    </a:fontScheme>
    <a:fmtScheme name="Spring">
      <a:fillStyleLst>
        <a:solidFill>
          <a:schemeClr val="phClr"/>
        </a:solidFill>
        <a:gradFill rotWithShape="1">
          <a:gsLst>
            <a:gs pos="0">
              <a:schemeClr val="phClr">
                <a:tint val="70000"/>
                <a:lumMod val="110000"/>
              </a:schemeClr>
            </a:gs>
            <a:gs pos="100000">
              <a:schemeClr val="phClr">
                <a:tint val="100000"/>
                <a:shade val="85000"/>
                <a:lumMod val="80000"/>
              </a:schemeClr>
            </a:gs>
          </a:gsLst>
          <a:lin ang="5400000" scaled="1"/>
        </a:gradFill>
        <a:gradFill rotWithShape="1">
          <a:gsLst>
            <a:gs pos="0">
              <a:schemeClr val="phClr">
                <a:tint val="97000"/>
                <a:satMod val="100000"/>
                <a:lumMod val="110000"/>
              </a:schemeClr>
            </a:gs>
            <a:gs pos="100000">
              <a:schemeClr val="phClr">
                <a:shade val="85000"/>
                <a:lumMod val="80000"/>
              </a:schemeClr>
            </a:gs>
          </a:gsLst>
          <a:lin ang="5400000" scaled="0"/>
        </a:gradFill>
      </a:fillStyleLst>
      <a:lnStyleLst>
        <a:ln w="12700" cap="rnd" cmpd="sng" algn="ctr">
          <a:solidFill>
            <a:schemeClr val="phClr"/>
          </a:solidFill>
          <a:prstDash val="solid"/>
        </a:ln>
        <a:ln w="19050" cap="rnd" cmpd="sng" algn="ctr">
          <a:solidFill>
            <a:schemeClr val="phClr"/>
          </a:solidFill>
          <a:prstDash val="solid"/>
        </a:ln>
        <a:ln w="28575" cap="rnd" cmpd="sng" algn="ctr">
          <a:solidFill>
            <a:schemeClr val="phClr"/>
          </a:solidFill>
          <a:prstDash val="solid"/>
        </a:ln>
      </a:lnStyleLst>
      <a:effectStyleLst>
        <a:effectStyle>
          <a:effectLst/>
        </a:effectStyle>
        <a:effectStyle>
          <a:effectLst>
            <a:outerShdw blurRad="38100" dist="25400" dir="5400000" rotWithShape="0">
              <a:srgbClr val="000000">
                <a:alpha val="45000"/>
              </a:srgbClr>
            </a:outerShdw>
          </a:effectLst>
        </a:effectStyle>
        <a:effectStyle>
          <a:effectLst>
            <a:outerShdw blurRad="88900" dist="38100" dir="5400000" algn="ctr" rotWithShape="0">
              <a:srgbClr val="000000">
                <a:alpha val="65000"/>
              </a:srgbClr>
            </a:outerShdw>
          </a:effectLst>
          <a:scene3d>
            <a:camera prst="orthographicFront">
              <a:rot lat="0" lon="0" rev="0"/>
            </a:camera>
            <a:lightRig rig="threePt" dir="tl">
              <a:rot lat="0" lon="0" rev="5400000"/>
            </a:lightRig>
          </a:scene3d>
          <a:sp3d>
            <a:bevelT w="25400" h="38100"/>
          </a:sp3d>
        </a:effectStyle>
      </a:effectStyleLst>
      <a:bgFillStyleLst>
        <a:solidFill>
          <a:schemeClr val="phClr"/>
        </a:solidFill>
        <a:gradFill rotWithShape="1">
          <a:gsLst>
            <a:gs pos="0">
              <a:schemeClr val="phClr">
                <a:tint val="100000"/>
                <a:shade val="100000"/>
                <a:hueMod val="100000"/>
                <a:satMod val="106000"/>
                <a:lumMod val="100000"/>
              </a:schemeClr>
            </a:gs>
            <a:gs pos="88000">
              <a:schemeClr val="phClr">
                <a:tint val="90000"/>
                <a:shade val="68000"/>
                <a:hueMod val="100000"/>
                <a:satMod val="114000"/>
                <a:lumMod val="74000"/>
              </a:schemeClr>
            </a:gs>
          </a:gsLst>
          <a:lin ang="5400000" scaled="1"/>
        </a:gradFill>
        <a:gradFill rotWithShape="1">
          <a:gsLst>
            <a:gs pos="0">
              <a:schemeClr val="phClr">
                <a:tint val="94000"/>
                <a:shade val="100000"/>
                <a:hueMod val="100000"/>
                <a:satMod val="118000"/>
                <a:lumMod val="100000"/>
              </a:schemeClr>
            </a:gs>
            <a:gs pos="100000">
              <a:schemeClr val="phClr">
                <a:tint val="98000"/>
                <a:shade val="68000"/>
                <a:hueMod val="100000"/>
                <a:satMod val="118000"/>
                <a:lumMod val="82000"/>
              </a:schemeClr>
            </a:gs>
          </a:gsLst>
          <a:path path="circle">
            <a:fillToRect l="50000" t="50000" r="100000" b="10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8" Type="http://schemas.openxmlformats.org/officeDocument/2006/relationships/table" Target="../tables/table6.xml"/><Relationship Id="rId13" Type="http://schemas.openxmlformats.org/officeDocument/2006/relationships/table" Target="../tables/table11.xml"/><Relationship Id="rId3" Type="http://schemas.openxmlformats.org/officeDocument/2006/relationships/table" Target="../tables/table1.xml"/><Relationship Id="rId7" Type="http://schemas.openxmlformats.org/officeDocument/2006/relationships/table" Target="../tables/table5.xml"/><Relationship Id="rId12" Type="http://schemas.openxmlformats.org/officeDocument/2006/relationships/table" Target="../tables/table10.xml"/><Relationship Id="rId2" Type="http://schemas.openxmlformats.org/officeDocument/2006/relationships/drawing" Target="../drawings/drawing3.xml"/><Relationship Id="rId1" Type="http://schemas.openxmlformats.org/officeDocument/2006/relationships/printerSettings" Target="../printerSettings/printerSettings2.bin"/><Relationship Id="rId6" Type="http://schemas.openxmlformats.org/officeDocument/2006/relationships/table" Target="../tables/table4.xml"/><Relationship Id="rId11" Type="http://schemas.openxmlformats.org/officeDocument/2006/relationships/table" Target="../tables/table9.xml"/><Relationship Id="rId5" Type="http://schemas.openxmlformats.org/officeDocument/2006/relationships/table" Target="../tables/table3.xml"/><Relationship Id="rId10" Type="http://schemas.openxmlformats.org/officeDocument/2006/relationships/table" Target="../tables/table8.xml"/><Relationship Id="rId4" Type="http://schemas.openxmlformats.org/officeDocument/2006/relationships/table" Target="../tables/table2.xml"/><Relationship Id="rId9" Type="http://schemas.openxmlformats.org/officeDocument/2006/relationships/table" Target="../tables/table7.xml"/><Relationship Id="rId14" Type="http://schemas.openxmlformats.org/officeDocument/2006/relationships/table" Target="../tables/table1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3.xml"/><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3" Type="http://schemas.openxmlformats.org/officeDocument/2006/relationships/table" Target="../tables/table15.xml"/><Relationship Id="rId2" Type="http://schemas.openxmlformats.org/officeDocument/2006/relationships/drawing" Target="../drawings/drawing6.xml"/><Relationship Id="rId1" Type="http://schemas.openxmlformats.org/officeDocument/2006/relationships/printerSettings" Target="../printerSettings/printerSettings5.bin"/><Relationship Id="rId4" Type="http://schemas.openxmlformats.org/officeDocument/2006/relationships/table" Target="../tables/table1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8CF256-A10A-4A5C-8FB4-95F27AB5BFA3}">
  <sheetPr>
    <tabColor theme="9" tint="-0.499984740745262"/>
  </sheetPr>
  <dimension ref="A2:X19"/>
  <sheetViews>
    <sheetView showGridLines="0" tabSelected="1" zoomScaleNormal="100" workbookViewId="0"/>
  </sheetViews>
  <sheetFormatPr defaultColWidth="8.796875" defaultRowHeight="13"/>
  <cols>
    <col min="1" max="35" width="9.5" style="29" customWidth="1"/>
    <col min="36" max="16384" width="8.796875" style="29"/>
  </cols>
  <sheetData>
    <row r="2" spans="1:24" ht="21">
      <c r="A2" s="194" t="s">
        <v>202</v>
      </c>
      <c r="B2" s="194"/>
      <c r="C2" s="194"/>
      <c r="D2" s="194"/>
      <c r="E2" s="194"/>
      <c r="F2" s="194"/>
      <c r="G2" s="194"/>
      <c r="H2" s="194"/>
      <c r="I2" s="194"/>
      <c r="J2" s="194"/>
      <c r="K2" s="194"/>
      <c r="L2" s="194"/>
      <c r="M2" s="194"/>
      <c r="N2" s="194"/>
      <c r="O2" s="194"/>
      <c r="P2" s="194"/>
      <c r="Q2" s="194"/>
    </row>
    <row r="3" spans="1:24" ht="15.5">
      <c r="A3" s="193" t="s">
        <v>93</v>
      </c>
      <c r="B3" s="193"/>
      <c r="C3" s="193"/>
      <c r="D3" s="193"/>
      <c r="E3" s="193"/>
      <c r="F3" s="193"/>
      <c r="G3" s="193"/>
      <c r="H3" s="193"/>
      <c r="I3" s="193"/>
      <c r="J3" s="193"/>
      <c r="K3" s="193"/>
      <c r="L3" s="193"/>
      <c r="M3" s="193"/>
      <c r="N3" s="193"/>
      <c r="O3" s="193"/>
      <c r="P3" s="193"/>
      <c r="Q3" s="193"/>
    </row>
    <row r="11" spans="1:24" s="30" customFormat="1" ht="30" customHeight="1">
      <c r="B11" s="29"/>
      <c r="C11" s="29"/>
      <c r="D11" s="29"/>
      <c r="E11" s="29"/>
      <c r="F11" s="29"/>
      <c r="G11" s="29"/>
      <c r="H11" s="29"/>
      <c r="I11" s="29"/>
      <c r="J11" s="29"/>
      <c r="K11" s="29"/>
      <c r="L11" s="29"/>
      <c r="M11" s="29"/>
      <c r="N11" s="29"/>
      <c r="O11" s="29"/>
      <c r="P11" s="29"/>
      <c r="Q11" s="29"/>
      <c r="R11" s="29"/>
      <c r="S11" s="29"/>
      <c r="T11" s="29"/>
      <c r="U11" s="29"/>
      <c r="V11" s="29"/>
      <c r="W11" s="29"/>
      <c r="X11" s="29"/>
    </row>
    <row r="12" spans="1:24" ht="30" customHeight="1">
      <c r="B12" s="1"/>
    </row>
    <row r="13" spans="1:24" ht="30" customHeight="1">
      <c r="B13" s="1"/>
    </row>
    <row r="14" spans="1:24" ht="30" customHeight="1">
      <c r="B14" s="1"/>
    </row>
    <row r="15" spans="1:24" ht="13.9" customHeight="1">
      <c r="B15" s="2"/>
    </row>
    <row r="16" spans="1:24" ht="13.9" customHeight="1">
      <c r="B16" s="1"/>
    </row>
    <row r="17" spans="2:2" ht="13.9" customHeight="1">
      <c r="B17" s="1"/>
    </row>
    <row r="18" spans="2:2" ht="13.9" customHeight="1"/>
    <row r="19" spans="2:2" ht="13.9" customHeight="1"/>
  </sheetData>
  <mergeCells count="2">
    <mergeCell ref="A3:Q3"/>
    <mergeCell ref="A2:Q2"/>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2EC6A5-D72B-4F84-A354-BB89904BA86D}">
  <sheetPr filterMode="1"/>
  <dimension ref="A1:R53"/>
  <sheetViews>
    <sheetView showGridLines="0" workbookViewId="0">
      <selection sqref="A1:R1"/>
    </sheetView>
  </sheetViews>
  <sheetFormatPr defaultRowHeight="13"/>
  <cols>
    <col min="2" max="2" width="16.09765625" bestFit="1" customWidth="1"/>
    <col min="3" max="4" width="10.09765625" bestFit="1" customWidth="1"/>
    <col min="5" max="5" width="13.19921875" customWidth="1"/>
    <col min="6" max="6" width="6.69921875" customWidth="1"/>
  </cols>
  <sheetData>
    <row r="1" spans="1:18" ht="14.5">
      <c r="A1" s="195" t="s">
        <v>203</v>
      </c>
      <c r="B1" s="195"/>
      <c r="C1" s="195"/>
      <c r="D1" s="195"/>
      <c r="E1" s="195"/>
      <c r="F1" s="195"/>
      <c r="G1" s="195"/>
      <c r="H1" s="195"/>
      <c r="I1" s="195"/>
      <c r="J1" s="195"/>
      <c r="K1" s="195"/>
      <c r="L1" s="195"/>
      <c r="M1" s="195"/>
      <c r="N1" s="195"/>
      <c r="O1" s="195"/>
      <c r="P1" s="195"/>
      <c r="Q1" s="195"/>
      <c r="R1" s="195"/>
    </row>
    <row r="41" spans="2:5">
      <c r="B41" s="7" t="s">
        <v>109</v>
      </c>
      <c r="C41" s="7" t="s">
        <v>111</v>
      </c>
      <c r="D41" s="7" t="s">
        <v>110</v>
      </c>
      <c r="E41" s="7" t="s">
        <v>112</v>
      </c>
    </row>
    <row r="42" spans="2:5">
      <c r="B42" s="5" t="s">
        <v>95</v>
      </c>
      <c r="C42" s="8">
        <f>Housing[[#Totals],[Projected Cost]]</f>
        <v>1195</v>
      </c>
      <c r="D42" s="8">
        <f>Housing[[#Totals],[Actual Cost]]</f>
        <v>1236</v>
      </c>
      <c r="E42" s="8">
        <f>C42-D42</f>
        <v>-41</v>
      </c>
    </row>
    <row r="43" spans="2:5">
      <c r="B43" s="5" t="s">
        <v>96</v>
      </c>
      <c r="C43" s="8">
        <f>Entertainment[[#Totals],[Projected Cost]]</f>
        <v>205</v>
      </c>
      <c r="D43" s="8">
        <f>Entertainment[[#Totals],[Actual Cost]]</f>
        <v>135</v>
      </c>
      <c r="E43" s="8">
        <f t="shared" ref="E43:E53" si="0">C43-D43</f>
        <v>70</v>
      </c>
    </row>
    <row r="44" spans="2:5">
      <c r="B44" s="5" t="s">
        <v>97</v>
      </c>
      <c r="C44" s="8">
        <f>Transportation[[#Totals],[Projected Cost]]</f>
        <v>1110</v>
      </c>
      <c r="D44" s="8">
        <f>Transportation[[#Totals],[Actual Cost]]</f>
        <v>1360</v>
      </c>
      <c r="E44" s="8">
        <f t="shared" si="0"/>
        <v>-250</v>
      </c>
    </row>
    <row r="45" spans="2:5">
      <c r="B45" s="5" t="s">
        <v>98</v>
      </c>
      <c r="C45" s="8">
        <f>Loans[[#Totals],[Projected Cost]]</f>
        <v>750</v>
      </c>
      <c r="D45" s="8">
        <f>Loans[[#Totals],[Actual Cost]]</f>
        <v>600</v>
      </c>
      <c r="E45" s="8">
        <f t="shared" si="0"/>
        <v>150</v>
      </c>
    </row>
    <row r="46" spans="2:5">
      <c r="B46" s="5" t="s">
        <v>26</v>
      </c>
      <c r="C46" s="8">
        <f>Insurance[[#Totals],[Projected Cost]]</f>
        <v>432</v>
      </c>
      <c r="D46" s="8">
        <f>Insurance[[#Totals],[Actual Cost]]</f>
        <v>432</v>
      </c>
      <c r="E46" s="8">
        <f t="shared" si="0"/>
        <v>0</v>
      </c>
    </row>
    <row r="47" spans="2:5">
      <c r="B47" s="5" t="s">
        <v>99</v>
      </c>
      <c r="C47" s="8">
        <f>Taxes[[#Totals],[Projected Cost]]</f>
        <v>200</v>
      </c>
      <c r="D47" s="8">
        <f>Taxes[[#Totals],[Actual Cost]]</f>
        <v>200</v>
      </c>
      <c r="E47" s="8">
        <f t="shared" si="0"/>
        <v>0</v>
      </c>
    </row>
    <row r="48" spans="2:5">
      <c r="B48" s="5" t="s">
        <v>100</v>
      </c>
      <c r="C48" s="8">
        <f>Food[[#Totals],[Projected Cost]]</f>
        <v>800</v>
      </c>
      <c r="D48" s="8">
        <f>Food[[#Totals],[Actual Cost]]</f>
        <v>826</v>
      </c>
      <c r="E48" s="8">
        <f t="shared" si="0"/>
        <v>-26</v>
      </c>
    </row>
    <row r="49" spans="2:5">
      <c r="B49" s="5" t="s">
        <v>105</v>
      </c>
      <c r="C49" s="8">
        <f>Savings[[#Totals],[Projected Cost]]</f>
        <v>230</v>
      </c>
      <c r="D49" s="8">
        <f>Savings[[#Totals],[Actual Cost]]</f>
        <v>200</v>
      </c>
      <c r="E49" s="8">
        <f t="shared" si="0"/>
        <v>30</v>
      </c>
    </row>
    <row r="50" spans="2:5" hidden="1">
      <c r="B50" s="5" t="s">
        <v>101</v>
      </c>
      <c r="C50" s="8">
        <f>Pets[[#Totals],[Projected Cost]]</f>
        <v>0</v>
      </c>
      <c r="D50" s="8">
        <f>Pets[[#Totals],[Actual Cost]]</f>
        <v>0</v>
      </c>
      <c r="E50" s="8">
        <f t="shared" si="0"/>
        <v>0</v>
      </c>
    </row>
    <row r="51" spans="2:5" hidden="1">
      <c r="B51" s="5" t="s">
        <v>102</v>
      </c>
      <c r="C51" s="8">
        <f>Gifts[[#Totals],[Projected Cost]]</f>
        <v>0</v>
      </c>
      <c r="D51" s="8">
        <f>Gifts[[#Totals],[Actual Cost]]</f>
        <v>0</v>
      </c>
      <c r="E51" s="8">
        <f t="shared" si="0"/>
        <v>0</v>
      </c>
    </row>
    <row r="52" spans="2:5">
      <c r="B52" s="5" t="s">
        <v>103</v>
      </c>
      <c r="C52" s="8">
        <f>PersonalCare[[#Totals],[Projected Cost]]</f>
        <v>175</v>
      </c>
      <c r="D52" s="8">
        <f>PersonalCare[[#Totals],[Actual Cost]]</f>
        <v>410</v>
      </c>
      <c r="E52" s="8">
        <f t="shared" si="0"/>
        <v>-235</v>
      </c>
    </row>
    <row r="53" spans="2:5" hidden="1">
      <c r="B53" s="5" t="s">
        <v>104</v>
      </c>
      <c r="C53" s="8">
        <f>Legal[[#Totals],[Projected Cost]]</f>
        <v>0</v>
      </c>
      <c r="D53" s="8">
        <f>Legal[[#Totals],[Actual Cost]]</f>
        <v>0</v>
      </c>
      <c r="E53" s="8">
        <f t="shared" si="0"/>
        <v>0</v>
      </c>
    </row>
  </sheetData>
  <autoFilter ref="C42:E53" xr:uid="{D5A3781A-E301-4AF6-BCAF-68E250943AD5}">
    <filterColumn colId="0">
      <filters>
        <filter val="$1,110"/>
        <filter val="$175"/>
        <filter val="$200"/>
        <filter val="$205"/>
        <filter val="$230"/>
        <filter val="$432"/>
        <filter val="$750"/>
        <filter val="$800"/>
      </filters>
    </filterColumn>
  </autoFilter>
  <mergeCells count="1">
    <mergeCell ref="A1:R1"/>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pageSetUpPr autoPageBreaks="0" fitToPage="1"/>
  </sheetPr>
  <dimension ref="A1:J64"/>
  <sheetViews>
    <sheetView showGridLines="0" zoomScaleNormal="100" workbookViewId="0"/>
  </sheetViews>
  <sheetFormatPr defaultColWidth="8.796875" defaultRowHeight="13"/>
  <cols>
    <col min="1" max="1" width="2.69921875" style="4" customWidth="1"/>
    <col min="2" max="2" width="19.59765625" style="29" customWidth="1"/>
    <col min="3" max="3" width="16" style="29" customWidth="1"/>
    <col min="4" max="4" width="13" style="29" customWidth="1"/>
    <col min="5" max="5" width="12.59765625" style="29" customWidth="1"/>
    <col min="6" max="6" width="2.69921875" style="29" customWidth="1"/>
    <col min="7" max="7" width="27.09765625" style="29" customWidth="1"/>
    <col min="8" max="8" width="16" style="29" customWidth="1"/>
    <col min="9" max="9" width="13" style="29" customWidth="1"/>
    <col min="10" max="10" width="12.59765625" style="29" customWidth="1"/>
    <col min="11" max="11" width="2.69921875" style="29" customWidth="1"/>
    <col min="12" max="16384" width="8.796875" style="29"/>
  </cols>
  <sheetData>
    <row r="1" spans="1:10" s="33" customFormat="1" ht="21">
      <c r="A1" s="3" t="s">
        <v>67</v>
      </c>
      <c r="B1" s="196" t="s">
        <v>63</v>
      </c>
      <c r="C1" s="197"/>
      <c r="D1" s="197"/>
      <c r="E1" s="197"/>
      <c r="F1" s="197"/>
      <c r="G1" s="197"/>
      <c r="H1" s="197"/>
      <c r="I1" s="197"/>
      <c r="J1" s="197"/>
    </row>
    <row r="3" spans="1:10">
      <c r="A3" s="4" t="s">
        <v>68</v>
      </c>
      <c r="B3" s="202" t="s">
        <v>0</v>
      </c>
      <c r="C3" s="200" t="s">
        <v>106</v>
      </c>
      <c r="D3" s="201"/>
      <c r="E3" s="34">
        <v>7500</v>
      </c>
      <c r="G3" s="205" t="s">
        <v>64</v>
      </c>
      <c r="H3" s="206"/>
      <c r="I3" s="206"/>
      <c r="J3" s="199">
        <f>E5-J58</f>
        <v>2403</v>
      </c>
    </row>
    <row r="4" spans="1:10">
      <c r="B4" s="203"/>
      <c r="C4" s="207" t="s">
        <v>1</v>
      </c>
      <c r="D4" s="209"/>
      <c r="E4" s="34">
        <v>0</v>
      </c>
      <c r="G4" s="206"/>
      <c r="H4" s="206"/>
      <c r="I4" s="206"/>
      <c r="J4" s="199"/>
    </row>
    <row r="5" spans="1:10">
      <c r="A5" s="4" t="s">
        <v>69</v>
      </c>
      <c r="B5" s="204"/>
      <c r="C5" s="207" t="s">
        <v>2</v>
      </c>
      <c r="D5" s="208"/>
      <c r="E5" s="35">
        <f>SUM(E3:E4)</f>
        <v>7500</v>
      </c>
      <c r="G5" s="205" t="s">
        <v>65</v>
      </c>
      <c r="H5" s="206"/>
      <c r="I5" s="206"/>
      <c r="J5" s="199">
        <f>E9-J60</f>
        <v>1829</v>
      </c>
    </row>
    <row r="6" spans="1:10">
      <c r="B6" s="31"/>
      <c r="C6" s="31"/>
      <c r="D6" s="31"/>
      <c r="G6" s="206"/>
      <c r="H6" s="206"/>
      <c r="I6" s="206"/>
      <c r="J6" s="199"/>
    </row>
    <row r="7" spans="1:10">
      <c r="A7" s="4" t="s">
        <v>70</v>
      </c>
      <c r="B7" s="202" t="s">
        <v>3</v>
      </c>
      <c r="C7" s="200" t="s">
        <v>106</v>
      </c>
      <c r="D7" s="201"/>
      <c r="E7" s="34">
        <v>7228</v>
      </c>
      <c r="G7" s="205" t="s">
        <v>66</v>
      </c>
      <c r="H7" s="206"/>
      <c r="I7" s="206"/>
      <c r="J7" s="199">
        <f>J5-J3</f>
        <v>-574</v>
      </c>
    </row>
    <row r="8" spans="1:10">
      <c r="B8" s="203"/>
      <c r="C8" s="207" t="s">
        <v>1</v>
      </c>
      <c r="D8" s="209"/>
      <c r="E8" s="34">
        <v>0</v>
      </c>
      <c r="G8" s="206"/>
      <c r="H8" s="206"/>
      <c r="I8" s="206"/>
      <c r="J8" s="199"/>
    </row>
    <row r="9" spans="1:10">
      <c r="B9" s="204"/>
      <c r="C9" s="207" t="s">
        <v>2</v>
      </c>
      <c r="D9" s="208"/>
      <c r="E9" s="35">
        <f>SUM(E7:E8)</f>
        <v>7228</v>
      </c>
    </row>
    <row r="11" spans="1:10">
      <c r="A11" s="4" t="s">
        <v>71</v>
      </c>
      <c r="B11" s="36" t="s">
        <v>4</v>
      </c>
      <c r="C11" s="36" t="s">
        <v>5</v>
      </c>
      <c r="D11" s="36" t="s">
        <v>6</v>
      </c>
      <c r="E11" s="36" t="s">
        <v>7</v>
      </c>
      <c r="G11" s="36" t="s">
        <v>8</v>
      </c>
      <c r="H11" s="36" t="s">
        <v>5</v>
      </c>
      <c r="I11" s="36" t="s">
        <v>6</v>
      </c>
      <c r="J11" s="36" t="s">
        <v>7</v>
      </c>
    </row>
    <row r="12" spans="1:10">
      <c r="B12" s="36" t="s">
        <v>9</v>
      </c>
      <c r="C12" s="37">
        <v>1000</v>
      </c>
      <c r="D12" s="37">
        <v>1000</v>
      </c>
      <c r="E12" s="38">
        <f>Housing[[#This Row],[Projected Cost]]-Housing[[#This Row],[Actual Cost]]</f>
        <v>0</v>
      </c>
      <c r="G12" s="36" t="s">
        <v>78</v>
      </c>
      <c r="H12" s="37">
        <v>100</v>
      </c>
      <c r="I12" s="37">
        <v>55</v>
      </c>
      <c r="J12" s="38">
        <f>Entertainment[[#This Row],[Projected Cost]]-Entertainment[[#This Row],[Actual Cost]]</f>
        <v>45</v>
      </c>
    </row>
    <row r="13" spans="1:10">
      <c r="B13" s="36" t="s">
        <v>80</v>
      </c>
      <c r="C13" s="37">
        <v>54</v>
      </c>
      <c r="D13" s="37">
        <v>100</v>
      </c>
      <c r="E13" s="38">
        <f>Housing[[#This Row],[Projected Cost]]-Housing[[#This Row],[Actual Cost]]</f>
        <v>-46</v>
      </c>
      <c r="G13" s="36" t="s">
        <v>79</v>
      </c>
      <c r="H13" s="37">
        <v>5</v>
      </c>
      <c r="I13" s="37">
        <v>5</v>
      </c>
      <c r="J13" s="38">
        <f>Entertainment[[#This Row],[Projected Cost]]-Entertainment[[#This Row],[Actual Cost]]</f>
        <v>0</v>
      </c>
    </row>
    <row r="14" spans="1:10">
      <c r="B14" s="36" t="s">
        <v>10</v>
      </c>
      <c r="C14" s="37">
        <v>44</v>
      </c>
      <c r="D14" s="37">
        <v>56</v>
      </c>
      <c r="E14" s="38">
        <f>Housing[[#This Row],[Projected Cost]]-Housing[[#This Row],[Actual Cost]]</f>
        <v>-12</v>
      </c>
      <c r="G14" s="36" t="s">
        <v>11</v>
      </c>
      <c r="H14" s="37">
        <v>100</v>
      </c>
      <c r="I14" s="37">
        <v>75</v>
      </c>
      <c r="J14" s="38">
        <f>Entertainment[[#This Row],[Projected Cost]]-Entertainment[[#This Row],[Actual Cost]]</f>
        <v>25</v>
      </c>
    </row>
    <row r="15" spans="1:10">
      <c r="B15" s="36" t="s">
        <v>12</v>
      </c>
      <c r="C15" s="37">
        <v>22</v>
      </c>
      <c r="D15" s="37">
        <v>28</v>
      </c>
      <c r="E15" s="38">
        <f>Housing[[#This Row],[Projected Cost]]-Housing[[#This Row],[Actual Cost]]</f>
        <v>-6</v>
      </c>
      <c r="G15" s="36" t="s">
        <v>13</v>
      </c>
      <c r="H15" s="37">
        <v>0</v>
      </c>
      <c r="I15" s="37">
        <v>0</v>
      </c>
      <c r="J15" s="38">
        <f>Entertainment[[#This Row],[Projected Cost]]-Entertainment[[#This Row],[Actual Cost]]</f>
        <v>0</v>
      </c>
    </row>
    <row r="16" spans="1:10">
      <c r="B16" s="36" t="s">
        <v>14</v>
      </c>
      <c r="C16" s="37">
        <v>8</v>
      </c>
      <c r="D16" s="37">
        <v>8</v>
      </c>
      <c r="E16" s="38">
        <f>Housing[[#This Row],[Projected Cost]]-Housing[[#This Row],[Actual Cost]]</f>
        <v>0</v>
      </c>
      <c r="G16" s="36" t="s">
        <v>15</v>
      </c>
      <c r="H16" s="37">
        <v>0</v>
      </c>
      <c r="I16" s="37">
        <v>0</v>
      </c>
      <c r="J16" s="38">
        <f>Entertainment[[#This Row],[Projected Cost]]-Entertainment[[#This Row],[Actual Cost]]</f>
        <v>0</v>
      </c>
    </row>
    <row r="17" spans="1:10">
      <c r="B17" s="36" t="s">
        <v>16</v>
      </c>
      <c r="C17" s="37">
        <v>34</v>
      </c>
      <c r="D17" s="37">
        <v>34</v>
      </c>
      <c r="E17" s="38">
        <f>Housing[[#This Row],[Projected Cost]]-Housing[[#This Row],[Actual Cost]]</f>
        <v>0</v>
      </c>
      <c r="G17" s="36" t="s">
        <v>17</v>
      </c>
      <c r="H17" s="37">
        <v>0</v>
      </c>
      <c r="I17" s="37">
        <v>0</v>
      </c>
      <c r="J17" s="38">
        <f>Entertainment[[#This Row],[Projected Cost]]-Entertainment[[#This Row],[Actual Cost]]</f>
        <v>0</v>
      </c>
    </row>
    <row r="18" spans="1:10">
      <c r="B18" s="36" t="s">
        <v>18</v>
      </c>
      <c r="C18" s="37">
        <v>10</v>
      </c>
      <c r="D18" s="37">
        <v>10</v>
      </c>
      <c r="E18" s="38">
        <f>Housing[[#This Row],[Projected Cost]]-Housing[[#This Row],[Actual Cost]]</f>
        <v>0</v>
      </c>
      <c r="G18" s="36" t="s">
        <v>107</v>
      </c>
      <c r="H18" s="37">
        <v>0</v>
      </c>
      <c r="I18" s="37">
        <v>0</v>
      </c>
      <c r="J18" s="38">
        <f>Entertainment[[#This Row],[Projected Cost]]-Entertainment[[#This Row],[Actual Cost]]</f>
        <v>0</v>
      </c>
    </row>
    <row r="19" spans="1:10">
      <c r="B19" s="36" t="s">
        <v>81</v>
      </c>
      <c r="C19" s="37">
        <v>23</v>
      </c>
      <c r="D19" s="37">
        <v>0</v>
      </c>
      <c r="E19" s="38">
        <f>Housing[[#This Row],[Projected Cost]]-Housing[[#This Row],[Actual Cost]]</f>
        <v>23</v>
      </c>
      <c r="G19" s="36" t="s">
        <v>108</v>
      </c>
      <c r="H19" s="37">
        <v>0</v>
      </c>
      <c r="I19" s="37">
        <v>0</v>
      </c>
      <c r="J19" s="38">
        <f>Entertainment[[#This Row],[Projected Cost]]-Entertainment[[#This Row],[Actual Cost]]</f>
        <v>0</v>
      </c>
    </row>
    <row r="20" spans="1:10">
      <c r="B20" s="36" t="s">
        <v>20</v>
      </c>
      <c r="C20" s="37">
        <v>0</v>
      </c>
      <c r="D20" s="37">
        <v>0</v>
      </c>
      <c r="E20" s="38">
        <f>Housing[[#This Row],[Projected Cost]]-Housing[[#This Row],[Actual Cost]]</f>
        <v>0</v>
      </c>
      <c r="G20" s="36" t="s">
        <v>19</v>
      </c>
      <c r="H20" s="37">
        <v>0</v>
      </c>
      <c r="I20" s="37">
        <v>0</v>
      </c>
      <c r="J20" s="38">
        <f>Entertainment[[#This Row],[Projected Cost]]-Entertainment[[#This Row],[Actual Cost]]</f>
        <v>0</v>
      </c>
    </row>
    <row r="21" spans="1:10">
      <c r="B21" s="36" t="s">
        <v>19</v>
      </c>
      <c r="C21" s="37">
        <v>0</v>
      </c>
      <c r="D21" s="37">
        <v>0</v>
      </c>
      <c r="E21" s="38">
        <f>Housing[[#This Row],[Projected Cost]]-Housing[[#This Row],[Actual Cost]]</f>
        <v>0</v>
      </c>
      <c r="G21" s="29" t="s">
        <v>62</v>
      </c>
      <c r="H21" s="39">
        <f>SUBTOTAL(109,Entertainment[Projected Cost])</f>
        <v>205</v>
      </c>
      <c r="I21" s="39">
        <f>SUBTOTAL(109,Entertainment[Actual Cost])</f>
        <v>135</v>
      </c>
      <c r="J21" s="39">
        <f>SUBTOTAL(109,Entertainment[Difference])</f>
        <v>70</v>
      </c>
    </row>
    <row r="22" spans="1:10">
      <c r="B22" s="29" t="s">
        <v>62</v>
      </c>
      <c r="C22" s="39">
        <f>SUBTOTAL(109,Housing[Projected Cost])</f>
        <v>1195</v>
      </c>
      <c r="D22" s="39">
        <f>SUBTOTAL(109,Housing[Actual Cost])</f>
        <v>1236</v>
      </c>
      <c r="E22" s="39">
        <f>SUBTOTAL(109,Housing[Difference])</f>
        <v>-41</v>
      </c>
      <c r="G22" s="32"/>
      <c r="H22" s="32"/>
      <c r="I22" s="32"/>
      <c r="J22" s="32"/>
    </row>
    <row r="23" spans="1:10">
      <c r="B23" s="32"/>
      <c r="C23" s="32"/>
      <c r="D23" s="32"/>
      <c r="E23" s="32"/>
      <c r="G23" s="36" t="s">
        <v>21</v>
      </c>
      <c r="H23" s="36" t="s">
        <v>5</v>
      </c>
      <c r="I23" s="36" t="s">
        <v>6</v>
      </c>
      <c r="J23" s="36" t="s">
        <v>7</v>
      </c>
    </row>
    <row r="24" spans="1:10">
      <c r="A24" s="4" t="s">
        <v>72</v>
      </c>
      <c r="B24" s="36" t="s">
        <v>22</v>
      </c>
      <c r="C24" s="36" t="s">
        <v>5</v>
      </c>
      <c r="D24" s="36" t="s">
        <v>6</v>
      </c>
      <c r="E24" s="36" t="s">
        <v>7</v>
      </c>
      <c r="G24" s="36" t="s">
        <v>23</v>
      </c>
      <c r="H24" s="37">
        <v>300</v>
      </c>
      <c r="I24" s="37">
        <v>300</v>
      </c>
      <c r="J24" s="38">
        <f>Loans[[#This Row],[Projected Cost]]-Loans[[#This Row],[Actual Cost]]</f>
        <v>0</v>
      </c>
    </row>
    <row r="25" spans="1:10">
      <c r="B25" s="36" t="s">
        <v>82</v>
      </c>
      <c r="C25" s="37">
        <v>550</v>
      </c>
      <c r="D25" s="37">
        <v>550</v>
      </c>
      <c r="E25" s="38">
        <f>Transportation[[#This Row],[Projected Cost]]-Transportation[[#This Row],[Actual Cost]]</f>
        <v>0</v>
      </c>
      <c r="G25" s="36" t="s">
        <v>24</v>
      </c>
      <c r="H25" s="37">
        <v>0</v>
      </c>
      <c r="I25" s="37">
        <v>0</v>
      </c>
      <c r="J25" s="38">
        <f>Loans[[#This Row],[Projected Cost]]-Loans[[#This Row],[Actual Cost]]</f>
        <v>0</v>
      </c>
    </row>
    <row r="26" spans="1:10">
      <c r="B26" s="36" t="s">
        <v>25</v>
      </c>
      <c r="C26" s="37">
        <v>0</v>
      </c>
      <c r="D26" s="37">
        <v>0</v>
      </c>
      <c r="E26" s="38">
        <f>Transportation[[#This Row],[Projected Cost]]-Transportation[[#This Row],[Actual Cost]]</f>
        <v>0</v>
      </c>
      <c r="G26" s="36" t="s">
        <v>86</v>
      </c>
      <c r="H26" s="37">
        <v>300</v>
      </c>
      <c r="I26" s="37">
        <v>200</v>
      </c>
      <c r="J26" s="38">
        <f>Loans[[#This Row],[Projected Cost]]-Loans[[#This Row],[Actual Cost]]</f>
        <v>100</v>
      </c>
    </row>
    <row r="27" spans="1:10">
      <c r="B27" s="36" t="s">
        <v>26</v>
      </c>
      <c r="C27" s="37">
        <v>210</v>
      </c>
      <c r="D27" s="37">
        <v>210</v>
      </c>
      <c r="E27" s="38">
        <f>Transportation[[#This Row],[Projected Cost]]-Transportation[[#This Row],[Actual Cost]]</f>
        <v>0</v>
      </c>
      <c r="G27" s="36" t="s">
        <v>87</v>
      </c>
      <c r="H27" s="37">
        <v>150</v>
      </c>
      <c r="I27" s="37">
        <v>100</v>
      </c>
      <c r="J27" s="38">
        <f>Loans[[#This Row],[Projected Cost]]-Loans[[#This Row],[Actual Cost]]</f>
        <v>50</v>
      </c>
    </row>
    <row r="28" spans="1:10">
      <c r="B28" s="36" t="s">
        <v>27</v>
      </c>
      <c r="C28" s="37">
        <v>0</v>
      </c>
      <c r="D28" s="37">
        <v>0</v>
      </c>
      <c r="E28" s="38">
        <f>Transportation[[#This Row],[Projected Cost]]-Transportation[[#This Row],[Actual Cost]]</f>
        <v>0</v>
      </c>
      <c r="G28" s="36" t="s">
        <v>88</v>
      </c>
      <c r="H28" s="37">
        <v>0</v>
      </c>
      <c r="I28" s="37">
        <v>0</v>
      </c>
      <c r="J28" s="38">
        <f>Loans[[#This Row],[Projected Cost]]-Loans[[#This Row],[Actual Cost]]</f>
        <v>0</v>
      </c>
    </row>
    <row r="29" spans="1:10">
      <c r="B29" s="36" t="s">
        <v>28</v>
      </c>
      <c r="C29" s="37">
        <v>350</v>
      </c>
      <c r="D29" s="37">
        <v>400</v>
      </c>
      <c r="E29" s="38">
        <f>Transportation[[#This Row],[Projected Cost]]-Transportation[[#This Row],[Actual Cost]]</f>
        <v>-50</v>
      </c>
      <c r="G29" s="36" t="s">
        <v>89</v>
      </c>
      <c r="H29" s="37">
        <v>0</v>
      </c>
      <c r="I29" s="37">
        <v>0</v>
      </c>
      <c r="J29" s="38">
        <f>Loans[[#This Row],[Projected Cost]]-Loans[[#This Row],[Actual Cost]]</f>
        <v>0</v>
      </c>
    </row>
    <row r="30" spans="1:10">
      <c r="B30" s="36" t="s">
        <v>29</v>
      </c>
      <c r="C30" s="37">
        <v>0</v>
      </c>
      <c r="D30" s="37">
        <v>200</v>
      </c>
      <c r="E30" s="38">
        <f>Transportation[[#This Row],[Projected Cost]]-Transportation[[#This Row],[Actual Cost]]</f>
        <v>-200</v>
      </c>
      <c r="G30" s="29" t="s">
        <v>62</v>
      </c>
      <c r="H30" s="39">
        <f>SUBTOTAL(109,Loans[Projected Cost])</f>
        <v>750</v>
      </c>
      <c r="I30" s="39">
        <f>SUBTOTAL(109,Loans[Actual Cost])</f>
        <v>600</v>
      </c>
      <c r="J30" s="39">
        <f>SUBTOTAL(109,Loans[Difference])</f>
        <v>150</v>
      </c>
    </row>
    <row r="31" spans="1:10">
      <c r="B31" s="36" t="s">
        <v>19</v>
      </c>
      <c r="C31" s="37">
        <v>0</v>
      </c>
      <c r="D31" s="37">
        <v>0</v>
      </c>
      <c r="E31" s="38">
        <f>Transportation[[#This Row],[Projected Cost]]-Transportation[[#This Row],[Actual Cost]]</f>
        <v>0</v>
      </c>
      <c r="G31" s="32"/>
      <c r="H31" s="32"/>
      <c r="I31" s="32"/>
      <c r="J31" s="32"/>
    </row>
    <row r="32" spans="1:10">
      <c r="B32" s="29" t="s">
        <v>62</v>
      </c>
      <c r="C32" s="39">
        <f>SUBTOTAL(109,Transportation[Projected Cost])</f>
        <v>1110</v>
      </c>
      <c r="D32" s="39">
        <f>SUBTOTAL(109,Transportation[Actual Cost])</f>
        <v>1360</v>
      </c>
      <c r="E32" s="39">
        <f>SUBTOTAL(109,Transportation[Difference])</f>
        <v>-250</v>
      </c>
      <c r="G32" s="36" t="s">
        <v>30</v>
      </c>
      <c r="H32" s="36" t="s">
        <v>5</v>
      </c>
      <c r="I32" s="36" t="s">
        <v>6</v>
      </c>
      <c r="J32" s="36" t="s">
        <v>7</v>
      </c>
    </row>
    <row r="33" spans="1:10">
      <c r="B33" s="32"/>
      <c r="C33" s="32"/>
      <c r="D33" s="32"/>
      <c r="E33" s="32"/>
      <c r="G33" s="36" t="s">
        <v>91</v>
      </c>
      <c r="H33" s="37">
        <v>0</v>
      </c>
      <c r="I33" s="37">
        <v>0</v>
      </c>
      <c r="J33" s="38">
        <f>Taxes[[#This Row],[Projected Cost]]-Taxes[[#This Row],[Actual Cost]]</f>
        <v>0</v>
      </c>
    </row>
    <row r="34" spans="1:10">
      <c r="A34" s="4" t="s">
        <v>73</v>
      </c>
      <c r="B34" s="36" t="s">
        <v>31</v>
      </c>
      <c r="C34" s="36" t="s">
        <v>5</v>
      </c>
      <c r="D34" s="36" t="s">
        <v>6</v>
      </c>
      <c r="E34" s="36" t="s">
        <v>7</v>
      </c>
      <c r="G34" s="36" t="s">
        <v>90</v>
      </c>
      <c r="H34" s="37">
        <v>0</v>
      </c>
      <c r="I34" s="37">
        <v>0</v>
      </c>
      <c r="J34" s="38">
        <f>Taxes[[#This Row],[Projected Cost]]-Taxes[[#This Row],[Actual Cost]]</f>
        <v>0</v>
      </c>
    </row>
    <row r="35" spans="1:10">
      <c r="B35" s="36" t="s">
        <v>32</v>
      </c>
      <c r="C35" s="37">
        <v>50</v>
      </c>
      <c r="D35" s="37">
        <v>50</v>
      </c>
      <c r="E35" s="38">
        <f>Insurance[[#This Row],[Projected Cost]]-Insurance[[#This Row],[Actual Cost]]</f>
        <v>0</v>
      </c>
      <c r="G35" s="36" t="s">
        <v>92</v>
      </c>
      <c r="H35" s="37">
        <v>200</v>
      </c>
      <c r="I35" s="37">
        <v>200</v>
      </c>
      <c r="J35" s="38">
        <f>Taxes[[#This Row],[Projected Cost]]-Taxes[[#This Row],[Actual Cost]]</f>
        <v>0</v>
      </c>
    </row>
    <row r="36" spans="1:10">
      <c r="B36" s="36" t="s">
        <v>33</v>
      </c>
      <c r="C36" s="37">
        <v>41</v>
      </c>
      <c r="D36" s="37">
        <v>41</v>
      </c>
      <c r="E36" s="38">
        <f>Insurance[[#This Row],[Projected Cost]]-Insurance[[#This Row],[Actual Cost]]</f>
        <v>0</v>
      </c>
      <c r="G36" s="36" t="s">
        <v>19</v>
      </c>
      <c r="H36" s="37">
        <v>0</v>
      </c>
      <c r="I36" s="37">
        <v>0</v>
      </c>
      <c r="J36" s="38">
        <f>Taxes[[#This Row],[Projected Cost]]-Taxes[[#This Row],[Actual Cost]]</f>
        <v>0</v>
      </c>
    </row>
    <row r="37" spans="1:10">
      <c r="B37" s="36" t="s">
        <v>34</v>
      </c>
      <c r="C37" s="37">
        <v>0</v>
      </c>
      <c r="D37" s="37">
        <v>0</v>
      </c>
      <c r="E37" s="38">
        <f>Insurance[[#This Row],[Projected Cost]]-Insurance[[#This Row],[Actual Cost]]</f>
        <v>0</v>
      </c>
      <c r="G37" s="29" t="s">
        <v>62</v>
      </c>
      <c r="H37" s="39">
        <f>SUBTOTAL(109,Taxes[Projected Cost])</f>
        <v>200</v>
      </c>
      <c r="I37" s="39">
        <f>SUBTOTAL(109,Taxes[Actual Cost])</f>
        <v>200</v>
      </c>
      <c r="J37" s="39">
        <f>SUBTOTAL(109,Taxes[Difference])</f>
        <v>0</v>
      </c>
    </row>
    <row r="38" spans="1:10">
      <c r="B38" s="36" t="s">
        <v>83</v>
      </c>
      <c r="C38" s="37">
        <v>341</v>
      </c>
      <c r="D38" s="37">
        <v>341</v>
      </c>
      <c r="E38" s="38">
        <f>Insurance[[#This Row],[Projected Cost]]-Insurance[[#This Row],[Actual Cost]]</f>
        <v>0</v>
      </c>
      <c r="G38" s="32"/>
      <c r="H38" s="32"/>
      <c r="I38" s="32"/>
      <c r="J38" s="32"/>
    </row>
    <row r="39" spans="1:10">
      <c r="B39" s="29" t="s">
        <v>62</v>
      </c>
      <c r="C39" s="39">
        <f>SUBTOTAL(109,Insurance[Projected Cost])</f>
        <v>432</v>
      </c>
      <c r="D39" s="39">
        <f>SUBTOTAL(109,Insurance[Actual Cost])</f>
        <v>432</v>
      </c>
      <c r="E39" s="39">
        <f>SUBTOTAL(109,Insurance[Difference])</f>
        <v>0</v>
      </c>
      <c r="G39" s="36" t="s">
        <v>35</v>
      </c>
      <c r="H39" s="36" t="s">
        <v>5</v>
      </c>
      <c r="I39" s="36" t="s">
        <v>6</v>
      </c>
      <c r="J39" s="36" t="s">
        <v>7</v>
      </c>
    </row>
    <row r="40" spans="1:10">
      <c r="B40" s="32"/>
      <c r="C40" s="32"/>
      <c r="D40" s="32"/>
      <c r="E40" s="32"/>
      <c r="G40" s="36" t="s">
        <v>36</v>
      </c>
      <c r="H40" s="37">
        <v>230</v>
      </c>
      <c r="I40" s="37">
        <v>200</v>
      </c>
      <c r="J40" s="38">
        <f>Savings[[#This Row],[Projected Cost]]-Savings[[#This Row],[Actual Cost]]</f>
        <v>30</v>
      </c>
    </row>
    <row r="41" spans="1:10">
      <c r="A41" s="4" t="s">
        <v>74</v>
      </c>
      <c r="B41" s="36" t="s">
        <v>37</v>
      </c>
      <c r="C41" s="36" t="s">
        <v>5</v>
      </c>
      <c r="D41" s="36" t="s">
        <v>6</v>
      </c>
      <c r="E41" s="36" t="s">
        <v>7</v>
      </c>
      <c r="G41" s="36" t="s">
        <v>38</v>
      </c>
      <c r="H41" s="37">
        <v>0</v>
      </c>
      <c r="I41" s="37">
        <v>0</v>
      </c>
      <c r="J41" s="38">
        <f>Savings[[#This Row],[Projected Cost]]-Savings[[#This Row],[Actual Cost]]</f>
        <v>0</v>
      </c>
    </row>
    <row r="42" spans="1:10">
      <c r="B42" s="36" t="s">
        <v>39</v>
      </c>
      <c r="C42" s="37">
        <v>700</v>
      </c>
      <c r="D42" s="37">
        <v>751</v>
      </c>
      <c r="E42" s="38">
        <f>Food[[#This Row],[Projected Cost]]-Food[[#This Row],[Actual Cost]]</f>
        <v>-51</v>
      </c>
      <c r="G42" s="36" t="s">
        <v>94</v>
      </c>
      <c r="H42" s="37">
        <v>0</v>
      </c>
      <c r="I42" s="37">
        <v>0</v>
      </c>
      <c r="J42" s="38">
        <f>Savings[[#This Row],[Projected Cost]]-Savings[[#This Row],[Actual Cost]]</f>
        <v>0</v>
      </c>
    </row>
    <row r="43" spans="1:10">
      <c r="B43" s="36" t="s">
        <v>40</v>
      </c>
      <c r="C43" s="37">
        <v>100</v>
      </c>
      <c r="D43" s="37">
        <v>75</v>
      </c>
      <c r="E43" s="38">
        <f>Food[[#This Row],[Projected Cost]]-Food[[#This Row],[Actual Cost]]</f>
        <v>25</v>
      </c>
      <c r="G43" s="29" t="s">
        <v>62</v>
      </c>
      <c r="H43" s="39">
        <f>SUBTOTAL(109,Savings[Projected Cost])</f>
        <v>230</v>
      </c>
      <c r="I43" s="39">
        <f>SUBTOTAL(109,Savings[Actual Cost])</f>
        <v>200</v>
      </c>
      <c r="J43" s="39">
        <f>SUBTOTAL(109,Savings[Difference])</f>
        <v>30</v>
      </c>
    </row>
    <row r="44" spans="1:10">
      <c r="B44" s="36" t="s">
        <v>19</v>
      </c>
      <c r="C44" s="37">
        <v>0</v>
      </c>
      <c r="D44" s="37">
        <v>0</v>
      </c>
      <c r="E44" s="38">
        <f>Food[[#This Row],[Projected Cost]]-Food[[#This Row],[Actual Cost]]</f>
        <v>0</v>
      </c>
      <c r="G44" s="32"/>
      <c r="H44" s="32"/>
      <c r="I44" s="32"/>
      <c r="J44" s="32"/>
    </row>
    <row r="45" spans="1:10">
      <c r="B45" s="29" t="s">
        <v>62</v>
      </c>
      <c r="C45" s="39">
        <f>SUBTOTAL(109,Food[Projected Cost])</f>
        <v>800</v>
      </c>
      <c r="D45" s="39">
        <f>SUBTOTAL(109,Food[Actual Cost])</f>
        <v>826</v>
      </c>
      <c r="E45" s="39">
        <f>SUBTOTAL(109,Food[Difference])</f>
        <v>-26</v>
      </c>
      <c r="G45" s="36" t="s">
        <v>41</v>
      </c>
      <c r="H45" s="36" t="s">
        <v>5</v>
      </c>
      <c r="I45" s="36" t="s">
        <v>6</v>
      </c>
      <c r="J45" s="36" t="s">
        <v>7</v>
      </c>
    </row>
    <row r="46" spans="1:10">
      <c r="B46" s="32"/>
      <c r="C46" s="32"/>
      <c r="D46" s="32"/>
      <c r="E46" s="32"/>
      <c r="G46" s="36" t="s">
        <v>42</v>
      </c>
      <c r="H46" s="37">
        <v>0</v>
      </c>
      <c r="I46" s="37">
        <v>0</v>
      </c>
      <c r="J46" s="38">
        <f>Gifts[[#This Row],[Projected Cost]]-Gifts[[#This Row],[Actual Cost]]</f>
        <v>0</v>
      </c>
    </row>
    <row r="47" spans="1:10">
      <c r="A47" s="4" t="s">
        <v>75</v>
      </c>
      <c r="B47" s="36" t="s">
        <v>43</v>
      </c>
      <c r="C47" s="36" t="s">
        <v>5</v>
      </c>
      <c r="D47" s="36" t="s">
        <v>6</v>
      </c>
      <c r="E47" s="36" t="s">
        <v>7</v>
      </c>
      <c r="G47" s="36" t="s">
        <v>44</v>
      </c>
      <c r="H47" s="37">
        <v>0</v>
      </c>
      <c r="I47" s="37">
        <v>0</v>
      </c>
      <c r="J47" s="38">
        <f>Gifts[[#This Row],[Projected Cost]]-Gifts[[#This Row],[Actual Cost]]</f>
        <v>0</v>
      </c>
    </row>
    <row r="48" spans="1:10">
      <c r="B48" s="36" t="s">
        <v>45</v>
      </c>
      <c r="C48" s="6">
        <v>0</v>
      </c>
      <c r="D48" s="6">
        <v>0</v>
      </c>
      <c r="E48" s="38">
        <f>Pets[[#This Row],[Projected Cost]]-Pets[[#This Row],[Actual Cost]]</f>
        <v>0</v>
      </c>
      <c r="G48" s="36" t="s">
        <v>46</v>
      </c>
      <c r="H48" s="37">
        <v>0</v>
      </c>
      <c r="I48" s="37">
        <v>0</v>
      </c>
      <c r="J48" s="38">
        <f>Gifts[[#This Row],[Projected Cost]]-Gifts[[#This Row],[Actual Cost]]</f>
        <v>0</v>
      </c>
    </row>
    <row r="49" spans="1:10">
      <c r="B49" s="36" t="s">
        <v>47</v>
      </c>
      <c r="C49" s="6">
        <v>0</v>
      </c>
      <c r="D49" s="6">
        <v>0</v>
      </c>
      <c r="E49" s="38">
        <f>Pets[[#This Row],[Projected Cost]]-Pets[[#This Row],[Actual Cost]]</f>
        <v>0</v>
      </c>
      <c r="G49" s="29" t="s">
        <v>62</v>
      </c>
      <c r="H49" s="39">
        <f>SUBTOTAL(109,Gifts[Projected Cost])</f>
        <v>0</v>
      </c>
      <c r="I49" s="39">
        <f>SUBTOTAL(109,Gifts[Actual Cost])</f>
        <v>0</v>
      </c>
      <c r="J49" s="39">
        <f>SUBTOTAL(109,Gifts[Difference])</f>
        <v>0</v>
      </c>
    </row>
    <row r="50" spans="1:10">
      <c r="B50" s="36" t="s">
        <v>48</v>
      </c>
      <c r="C50" s="6">
        <v>0</v>
      </c>
      <c r="D50" s="6">
        <v>0</v>
      </c>
      <c r="E50" s="38">
        <f>Pets[[#This Row],[Projected Cost]]-Pets[[#This Row],[Actual Cost]]</f>
        <v>0</v>
      </c>
      <c r="G50" s="32"/>
      <c r="H50" s="32"/>
      <c r="I50" s="32"/>
      <c r="J50" s="32"/>
    </row>
    <row r="51" spans="1:10">
      <c r="B51" s="36" t="s">
        <v>49</v>
      </c>
      <c r="C51" s="6">
        <v>0</v>
      </c>
      <c r="D51" s="6">
        <v>0</v>
      </c>
      <c r="E51" s="38">
        <f>Pets[[#This Row],[Projected Cost]]-Pets[[#This Row],[Actual Cost]]</f>
        <v>0</v>
      </c>
      <c r="G51" s="36" t="s">
        <v>50</v>
      </c>
      <c r="H51" s="36" t="s">
        <v>5</v>
      </c>
      <c r="I51" s="36" t="s">
        <v>6</v>
      </c>
      <c r="J51" s="36" t="s">
        <v>7</v>
      </c>
    </row>
    <row r="52" spans="1:10">
      <c r="B52" s="36" t="s">
        <v>19</v>
      </c>
      <c r="C52" s="6">
        <v>0</v>
      </c>
      <c r="D52" s="6">
        <v>0</v>
      </c>
      <c r="E52" s="38">
        <f>Pets[[#This Row],[Projected Cost]]-Pets[[#This Row],[Actual Cost]]</f>
        <v>0</v>
      </c>
      <c r="G52" s="36" t="s">
        <v>51</v>
      </c>
      <c r="H52" s="37">
        <v>0</v>
      </c>
      <c r="I52" s="37">
        <v>0</v>
      </c>
      <c r="J52" s="38">
        <f>Legal[[#This Row],[Projected Cost]]-Legal[[#This Row],[Actual Cost]]</f>
        <v>0</v>
      </c>
    </row>
    <row r="53" spans="1:10">
      <c r="B53" s="29" t="s">
        <v>62</v>
      </c>
      <c r="C53" s="39">
        <f>SUBTOTAL(109,Pets[Projected Cost])</f>
        <v>0</v>
      </c>
      <c r="D53" s="39">
        <f>SUBTOTAL(109,Pets[Actual Cost])</f>
        <v>0</v>
      </c>
      <c r="E53" s="39">
        <f>SUBTOTAL(109,Pets[Difference])</f>
        <v>0</v>
      </c>
      <c r="G53" s="36" t="s">
        <v>52</v>
      </c>
      <c r="H53" s="37">
        <v>0</v>
      </c>
      <c r="I53" s="37">
        <v>0</v>
      </c>
      <c r="J53" s="38">
        <f>Legal[[#This Row],[Projected Cost]]-Legal[[#This Row],[Actual Cost]]</f>
        <v>0</v>
      </c>
    </row>
    <row r="54" spans="1:10">
      <c r="B54" s="32"/>
      <c r="C54" s="32"/>
      <c r="D54" s="32"/>
      <c r="E54" s="32"/>
      <c r="G54" s="36" t="s">
        <v>53</v>
      </c>
      <c r="H54" s="37">
        <v>0</v>
      </c>
      <c r="I54" s="37">
        <v>0</v>
      </c>
      <c r="J54" s="38">
        <f>Legal[[#This Row],[Projected Cost]]-Legal[[#This Row],[Actual Cost]]</f>
        <v>0</v>
      </c>
    </row>
    <row r="55" spans="1:10">
      <c r="A55" s="4" t="s">
        <v>76</v>
      </c>
      <c r="B55" s="36" t="s">
        <v>54</v>
      </c>
      <c r="C55" s="36" t="s">
        <v>5</v>
      </c>
      <c r="D55" s="36" t="s">
        <v>6</v>
      </c>
      <c r="E55" s="36" t="s">
        <v>7</v>
      </c>
      <c r="G55" s="36" t="s">
        <v>19</v>
      </c>
      <c r="H55" s="37">
        <v>0</v>
      </c>
      <c r="I55" s="37">
        <v>0</v>
      </c>
      <c r="J55" s="38">
        <f>Legal[[#This Row],[Projected Cost]]-Legal[[#This Row],[Actual Cost]]</f>
        <v>0</v>
      </c>
    </row>
    <row r="56" spans="1:10">
      <c r="B56" s="36" t="s">
        <v>84</v>
      </c>
      <c r="C56" s="37">
        <v>100</v>
      </c>
      <c r="D56" s="37">
        <v>210</v>
      </c>
      <c r="E56" s="38">
        <f>PersonalCare[[#This Row],[Projected Cost]]-PersonalCare[[#This Row],[Actual Cost]]</f>
        <v>-110</v>
      </c>
      <c r="G56" s="29" t="s">
        <v>62</v>
      </c>
      <c r="H56" s="39">
        <f>SUBTOTAL(109,Legal[Projected Cost])</f>
        <v>0</v>
      </c>
      <c r="I56" s="39">
        <f>SUBTOTAL(109,Legal[Actual Cost])</f>
        <v>0</v>
      </c>
      <c r="J56" s="39">
        <f>SUBTOTAL(109,Legal[Difference])</f>
        <v>0</v>
      </c>
    </row>
    <row r="57" spans="1:10">
      <c r="B57" s="36" t="s">
        <v>55</v>
      </c>
      <c r="C57" s="37">
        <v>0</v>
      </c>
      <c r="D57" s="37">
        <v>0</v>
      </c>
      <c r="E57" s="38">
        <f>PersonalCare[[#This Row],[Projected Cost]]-PersonalCare[[#This Row],[Actual Cost]]</f>
        <v>0</v>
      </c>
      <c r="G57" s="32"/>
      <c r="H57" s="32"/>
      <c r="I57" s="32"/>
      <c r="J57" s="32"/>
    </row>
    <row r="58" spans="1:10">
      <c r="A58" s="4" t="s">
        <v>77</v>
      </c>
      <c r="B58" s="36" t="s">
        <v>56</v>
      </c>
      <c r="C58" s="37">
        <v>75</v>
      </c>
      <c r="D58" s="37">
        <v>200</v>
      </c>
      <c r="E58" s="38">
        <f>PersonalCare[[#This Row],[Projected Cost]]-PersonalCare[[#This Row],[Actual Cost]]</f>
        <v>-125</v>
      </c>
      <c r="G58" s="198" t="s">
        <v>57</v>
      </c>
      <c r="H58" s="198"/>
      <c r="I58" s="198"/>
      <c r="J58" s="199">
        <f>SUBTOTAL(109,Housing[Projected Cost],Transportation[Projected Cost],Insurance[Projected Cost],Food[Projected Cost],Pets[Projected Cost],PersonalCare[Projected Cost],Entertainment[Projected Cost],Loans[Projected Cost],Taxes[Projected Cost],Savings[Projected Cost],Gifts[Projected Cost],Legal[Projected Cost])</f>
        <v>5097</v>
      </c>
    </row>
    <row r="59" spans="1:10">
      <c r="B59" s="36" t="s">
        <v>58</v>
      </c>
      <c r="C59" s="37">
        <v>0</v>
      </c>
      <c r="D59" s="37">
        <v>0</v>
      </c>
      <c r="E59" s="38">
        <f>PersonalCare[[#This Row],[Projected Cost]]-PersonalCare[[#This Row],[Actual Cost]]</f>
        <v>0</v>
      </c>
      <c r="G59" s="198"/>
      <c r="H59" s="198"/>
      <c r="I59" s="198"/>
      <c r="J59" s="199"/>
    </row>
    <row r="60" spans="1:10">
      <c r="B60" s="36" t="s">
        <v>59</v>
      </c>
      <c r="C60" s="37">
        <v>0</v>
      </c>
      <c r="D60" s="37">
        <v>0</v>
      </c>
      <c r="E60" s="38">
        <f>PersonalCare[[#This Row],[Projected Cost]]-PersonalCare[[#This Row],[Actual Cost]]</f>
        <v>0</v>
      </c>
      <c r="G60" s="198" t="s">
        <v>60</v>
      </c>
      <c r="H60" s="198"/>
      <c r="I60" s="198"/>
      <c r="J60" s="199">
        <f>SUBTOTAL(109,Housing[Actual Cost],Transportation[Actual Cost],Insurance[Actual Cost],Food[Actual Cost],Pets[Actual Cost],PersonalCare[Actual Cost],Entertainment[Actual Cost],Loans[Actual Cost],Taxes[Actual Cost],Savings[Actual Cost],Gifts[Actual Cost],Legal[Actual Cost])</f>
        <v>5399</v>
      </c>
    </row>
    <row r="61" spans="1:10">
      <c r="B61" s="36" t="s">
        <v>85</v>
      </c>
      <c r="C61" s="37">
        <v>0</v>
      </c>
      <c r="D61" s="37">
        <v>0</v>
      </c>
      <c r="E61" s="38">
        <f>PersonalCare[[#This Row],[Projected Cost]]-PersonalCare[[#This Row],[Actual Cost]]</f>
        <v>0</v>
      </c>
      <c r="G61" s="198"/>
      <c r="H61" s="198"/>
      <c r="I61" s="198"/>
      <c r="J61" s="199"/>
    </row>
    <row r="62" spans="1:10">
      <c r="B62" s="36" t="s">
        <v>19</v>
      </c>
      <c r="C62" s="37">
        <v>0</v>
      </c>
      <c r="D62" s="37">
        <v>0</v>
      </c>
      <c r="E62" s="38">
        <f>PersonalCare[[#This Row],[Projected Cost]]-PersonalCare[[#This Row],[Actual Cost]]</f>
        <v>0</v>
      </c>
      <c r="G62" s="198" t="s">
        <v>61</v>
      </c>
      <c r="H62" s="198"/>
      <c r="I62" s="198"/>
      <c r="J62" s="199">
        <f>J58-J60</f>
        <v>-302</v>
      </c>
    </row>
    <row r="63" spans="1:10">
      <c r="B63" s="29" t="s">
        <v>62</v>
      </c>
      <c r="C63" s="39">
        <f>SUBTOTAL(109,PersonalCare[Projected Cost])</f>
        <v>175</v>
      </c>
      <c r="D63" s="39">
        <f>SUBTOTAL(109,PersonalCare[Actual Cost])</f>
        <v>410</v>
      </c>
      <c r="E63" s="39">
        <f>SUBTOTAL(109,PersonalCare[Difference])</f>
        <v>-235</v>
      </c>
      <c r="G63" s="198"/>
      <c r="H63" s="198"/>
      <c r="I63" s="198"/>
      <c r="J63" s="199"/>
    </row>
    <row r="64" spans="1:10">
      <c r="B64" s="32"/>
      <c r="C64" s="32"/>
      <c r="D64" s="32"/>
      <c r="E64" s="32"/>
    </row>
  </sheetData>
  <mergeCells count="21">
    <mergeCell ref="C9:D9"/>
    <mergeCell ref="C8:D8"/>
    <mergeCell ref="C7:D7"/>
    <mergeCell ref="C5:D5"/>
    <mergeCell ref="C4:D4"/>
    <mergeCell ref="B1:J1"/>
    <mergeCell ref="G62:I63"/>
    <mergeCell ref="J62:J63"/>
    <mergeCell ref="J58:J59"/>
    <mergeCell ref="J60:J61"/>
    <mergeCell ref="G60:I61"/>
    <mergeCell ref="J7:J8"/>
    <mergeCell ref="J5:J6"/>
    <mergeCell ref="J3:J4"/>
    <mergeCell ref="G58:I59"/>
    <mergeCell ref="C3:D3"/>
    <mergeCell ref="B7:B9"/>
    <mergeCell ref="B3:B5"/>
    <mergeCell ref="G7:I8"/>
    <mergeCell ref="G5:I6"/>
    <mergeCell ref="G3:I4"/>
  </mergeCells>
  <conditionalFormatting sqref="J7:J8">
    <cfRule type="cellIs" dxfId="247" priority="16" operator="lessThan">
      <formula>0</formula>
    </cfRule>
  </conditionalFormatting>
  <conditionalFormatting sqref="J62:J63">
    <cfRule type="cellIs" dxfId="246" priority="15" operator="lessThan">
      <formula>0</formula>
    </cfRule>
  </conditionalFormatting>
  <conditionalFormatting sqref="E12:E21">
    <cfRule type="iconSet" priority="14">
      <iconSet iconSet="3TrafficLights2">
        <cfvo type="percent" val="0"/>
        <cfvo type="percent" val="33"/>
        <cfvo type="percent" val="67"/>
      </iconSet>
    </cfRule>
  </conditionalFormatting>
  <conditionalFormatting sqref="E25:E31">
    <cfRule type="iconSet" priority="13">
      <iconSet iconSet="3TrafficLights2">
        <cfvo type="percent" val="0"/>
        <cfvo type="percent" val="33"/>
        <cfvo type="percent" val="67"/>
      </iconSet>
    </cfRule>
  </conditionalFormatting>
  <conditionalFormatting sqref="E35:E38">
    <cfRule type="iconSet" priority="12">
      <iconSet iconSet="3TrafficLights2">
        <cfvo type="percent" val="0"/>
        <cfvo type="percent" val="33"/>
        <cfvo type="percent" val="67"/>
      </iconSet>
    </cfRule>
  </conditionalFormatting>
  <conditionalFormatting sqref="E42:E44">
    <cfRule type="iconSet" priority="11">
      <iconSet iconSet="3TrafficLights2">
        <cfvo type="percent" val="0"/>
        <cfvo type="percent" val="33"/>
        <cfvo type="percent" val="67"/>
      </iconSet>
    </cfRule>
  </conditionalFormatting>
  <conditionalFormatting sqref="E48:E52">
    <cfRule type="iconSet" priority="10">
      <iconSet iconSet="3TrafficLights2">
        <cfvo type="percent" val="0"/>
        <cfvo type="percent" val="33"/>
        <cfvo type="percent" val="67"/>
      </iconSet>
    </cfRule>
  </conditionalFormatting>
  <conditionalFormatting sqref="E56:E62">
    <cfRule type="iconSet" priority="9">
      <iconSet iconSet="3TrafficLights2">
        <cfvo type="percent" val="0"/>
        <cfvo type="percent" val="33"/>
        <cfvo type="percent" val="67"/>
      </iconSet>
    </cfRule>
  </conditionalFormatting>
  <conditionalFormatting sqref="J12:J20">
    <cfRule type="iconSet" priority="1">
      <iconSet iconSet="3TrafficLights2">
        <cfvo type="percent" val="0"/>
        <cfvo type="percent" val="33"/>
        <cfvo type="percent" val="67"/>
      </iconSet>
    </cfRule>
  </conditionalFormatting>
  <conditionalFormatting sqref="J24:J29">
    <cfRule type="iconSet" priority="7">
      <iconSet iconSet="3TrafficLights2">
        <cfvo type="percent" val="0"/>
        <cfvo type="percent" val="33"/>
        <cfvo type="percent" val="67"/>
      </iconSet>
    </cfRule>
  </conditionalFormatting>
  <conditionalFormatting sqref="J33:J36">
    <cfRule type="iconSet" priority="6">
      <iconSet iconSet="3TrafficLights2">
        <cfvo type="percent" val="0"/>
        <cfvo type="percent" val="33"/>
        <cfvo type="percent" val="67"/>
      </iconSet>
    </cfRule>
  </conditionalFormatting>
  <conditionalFormatting sqref="J40:J42">
    <cfRule type="iconSet" priority="5">
      <iconSet iconSet="3TrafficLights2">
        <cfvo type="percent" val="0"/>
        <cfvo type="percent" val="33"/>
        <cfvo type="percent" val="67"/>
      </iconSet>
    </cfRule>
  </conditionalFormatting>
  <conditionalFormatting sqref="J46:J48">
    <cfRule type="iconSet" priority="4">
      <iconSet iconSet="3TrafficLights2">
        <cfvo type="percent" val="0"/>
        <cfvo type="percent" val="33"/>
        <cfvo type="percent" val="67"/>
      </iconSet>
    </cfRule>
  </conditionalFormatting>
  <conditionalFormatting sqref="J52:J55">
    <cfRule type="iconSet" priority="3">
      <iconSet iconSet="3TrafficLights2">
        <cfvo type="percent" val="0"/>
        <cfvo type="percent" val="33"/>
        <cfvo type="percent" val="67"/>
      </iconSet>
    </cfRule>
  </conditionalFormatting>
  <conditionalFormatting sqref="M25:M27">
    <cfRule type="iconSet" priority="2">
      <iconSet iconSet="3TrafficLights2">
        <cfvo type="percent" val="0"/>
        <cfvo type="percent" val="33"/>
        <cfvo type="percent" val="67"/>
      </iconSet>
    </cfRule>
  </conditionalFormatting>
  <printOptions horizontalCentered="1"/>
  <pageMargins left="0.4" right="0.4" top="0.4" bottom="0.4" header="0.3" footer="0.3"/>
  <pageSetup scale="81" fitToHeight="0" orientation="portrait" r:id="rId1"/>
  <headerFooter differentFirst="1">
    <oddFooter>Page &amp;P of &amp;N</oddFooter>
  </headerFooter>
  <ignoredErrors>
    <ignoredError sqref="J12:J20 E25:E31 J24:J29 J33:J36 E35:E38 E42:E44 J40:J42 J46:J48 J52:J55 J58:J61 E56:E62 E48:E52" emptyCellReference="1"/>
  </ignoredErrors>
  <drawing r:id="rId2"/>
  <tableParts count="12">
    <tablePart r:id="rId3"/>
    <tablePart r:id="rId4"/>
    <tablePart r:id="rId5"/>
    <tablePart r:id="rId6"/>
    <tablePart r:id="rId7"/>
    <tablePart r:id="rId8"/>
    <tablePart r:id="rId9"/>
    <tablePart r:id="rId10"/>
    <tablePart r:id="rId11"/>
    <tablePart r:id="rId12"/>
    <tablePart r:id="rId13"/>
    <tablePart r:id="rId14"/>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FD09FB-6C5C-4224-9801-FCA56700CC96}">
  <dimension ref="A1:G664"/>
  <sheetViews>
    <sheetView showGridLines="0" zoomScaleNormal="100" workbookViewId="0">
      <selection sqref="A1:F1"/>
    </sheetView>
  </sheetViews>
  <sheetFormatPr defaultColWidth="10" defaultRowHeight="10.5"/>
  <cols>
    <col min="1" max="1" width="6.3984375" style="49" customWidth="1"/>
    <col min="2" max="2" width="23.69921875" style="40" customWidth="1"/>
    <col min="3" max="3" width="18.69921875" style="40" customWidth="1"/>
    <col min="4" max="4" width="20.59765625" style="40" customWidth="1"/>
    <col min="5" max="5" width="22" style="40" customWidth="1"/>
    <col min="6" max="6" width="15" style="40" customWidth="1"/>
    <col min="7" max="7" width="0.296875" style="40" customWidth="1"/>
    <col min="8" max="16384" width="10" style="40"/>
  </cols>
  <sheetData>
    <row r="1" spans="1:7" ht="16" thickBot="1">
      <c r="A1" s="214" t="s">
        <v>127</v>
      </c>
      <c r="B1" s="215"/>
      <c r="C1" s="215"/>
      <c r="D1" s="215"/>
      <c r="E1" s="215"/>
      <c r="F1" s="216"/>
    </row>
    <row r="2" spans="1:7" ht="15" thickBot="1">
      <c r="A2" s="210" t="s">
        <v>128</v>
      </c>
      <c r="B2" s="211"/>
      <c r="C2" s="51">
        <f>Savings[[#Totals],[Actual Cost]]</f>
        <v>200</v>
      </c>
      <c r="D2" s="52"/>
      <c r="E2" s="53" t="s">
        <v>116</v>
      </c>
      <c r="F2" s="54">
        <f>D90</f>
        <v>242.4019091122189</v>
      </c>
    </row>
    <row r="3" spans="1:7" ht="15" thickBot="1">
      <c r="A3" s="212" t="s">
        <v>117</v>
      </c>
      <c r="B3" s="213"/>
      <c r="C3" s="55">
        <v>2.75E-2</v>
      </c>
      <c r="D3" s="52"/>
      <c r="E3" s="53"/>
      <c r="F3" s="54"/>
    </row>
    <row r="4" spans="1:7" ht="29.5" thickBot="1">
      <c r="A4" s="212" t="s">
        <v>118</v>
      </c>
      <c r="B4" s="213"/>
      <c r="C4" s="56">
        <v>20</v>
      </c>
      <c r="D4" s="52"/>
      <c r="E4" s="53" t="s">
        <v>119</v>
      </c>
      <c r="F4" s="54">
        <f>F246</f>
        <v>346.43254327739669</v>
      </c>
    </row>
    <row r="5" spans="1:7" ht="15" thickBot="1">
      <c r="A5" s="210" t="s">
        <v>120</v>
      </c>
      <c r="B5" s="213"/>
      <c r="C5" s="57">
        <v>1</v>
      </c>
      <c r="D5" s="52"/>
      <c r="E5" s="53"/>
      <c r="F5" s="54"/>
    </row>
    <row r="6" spans="1:7" ht="23.65" customHeight="1">
      <c r="A6" s="41" t="s">
        <v>121</v>
      </c>
      <c r="B6" s="42" t="s">
        <v>122</v>
      </c>
      <c r="C6" s="42" t="s">
        <v>123</v>
      </c>
      <c r="D6" s="42" t="s">
        <v>124</v>
      </c>
      <c r="E6" s="42" t="s">
        <v>125</v>
      </c>
      <c r="F6" s="42" t="s">
        <v>126</v>
      </c>
      <c r="G6" s="43"/>
    </row>
    <row r="7" spans="1:7" ht="13">
      <c r="A7" s="9">
        <v>1</v>
      </c>
      <c r="B7" s="10">
        <f>$C$2</f>
        <v>200</v>
      </c>
      <c r="C7" s="11">
        <f t="shared" ref="C7:C70" si="0">-IPMT($C$3/12,1,$C$4*12,B7)</f>
        <v>0.45833333333333331</v>
      </c>
      <c r="D7" s="10">
        <f t="shared" ref="D7:D70" si="1">SUM(B7:C7)</f>
        <v>200.45833333333334</v>
      </c>
      <c r="E7" s="10">
        <f t="shared" ref="E7:E70" si="2">C7-(C7*$C$5)</f>
        <v>0</v>
      </c>
      <c r="F7" s="10">
        <f t="shared" ref="F7:F70" si="3">D7-E7</f>
        <v>200.45833333333334</v>
      </c>
      <c r="G7" s="43"/>
    </row>
    <row r="8" spans="1:7">
      <c r="A8" s="12">
        <v>2</v>
      </c>
      <c r="B8" s="13">
        <f t="shared" ref="B8:B71" si="4">F7</f>
        <v>200.45833333333334</v>
      </c>
      <c r="C8" s="14">
        <f t="shared" si="0"/>
        <v>0.45938368055555556</v>
      </c>
      <c r="D8" s="13">
        <f t="shared" si="1"/>
        <v>200.9177170138889</v>
      </c>
      <c r="E8" s="13">
        <f t="shared" si="2"/>
        <v>0</v>
      </c>
      <c r="F8" s="13">
        <f t="shared" si="3"/>
        <v>200.9177170138889</v>
      </c>
    </row>
    <row r="9" spans="1:7">
      <c r="A9" s="12">
        <v>3</v>
      </c>
      <c r="B9" s="13">
        <f t="shared" si="4"/>
        <v>200.9177170138889</v>
      </c>
      <c r="C9" s="14">
        <f t="shared" si="0"/>
        <v>0.46043643482349539</v>
      </c>
      <c r="D9" s="13">
        <f t="shared" si="1"/>
        <v>201.3781534487124</v>
      </c>
      <c r="E9" s="13">
        <f t="shared" si="2"/>
        <v>0</v>
      </c>
      <c r="F9" s="13">
        <f t="shared" si="3"/>
        <v>201.3781534487124</v>
      </c>
    </row>
    <row r="10" spans="1:7">
      <c r="A10" s="12">
        <v>4</v>
      </c>
      <c r="B10" s="13">
        <f t="shared" si="4"/>
        <v>201.3781534487124</v>
      </c>
      <c r="C10" s="14">
        <f t="shared" si="0"/>
        <v>0.46149160165329922</v>
      </c>
      <c r="D10" s="13">
        <f t="shared" si="1"/>
        <v>201.8396450503657</v>
      </c>
      <c r="E10" s="13">
        <f t="shared" si="2"/>
        <v>0</v>
      </c>
      <c r="F10" s="13">
        <f t="shared" si="3"/>
        <v>201.8396450503657</v>
      </c>
    </row>
    <row r="11" spans="1:7">
      <c r="A11" s="12">
        <v>5</v>
      </c>
      <c r="B11" s="13">
        <f t="shared" si="4"/>
        <v>201.8396450503657</v>
      </c>
      <c r="C11" s="14">
        <f t="shared" si="0"/>
        <v>0.46254918657375477</v>
      </c>
      <c r="D11" s="13">
        <f t="shared" si="1"/>
        <v>202.30219423693947</v>
      </c>
      <c r="E11" s="13">
        <f t="shared" si="2"/>
        <v>0</v>
      </c>
      <c r="F11" s="13">
        <f t="shared" si="3"/>
        <v>202.30219423693947</v>
      </c>
    </row>
    <row r="12" spans="1:7">
      <c r="A12" s="12">
        <v>6</v>
      </c>
      <c r="B12" s="13">
        <f t="shared" si="4"/>
        <v>202.30219423693947</v>
      </c>
      <c r="C12" s="14">
        <f t="shared" si="0"/>
        <v>0.4636091951263196</v>
      </c>
      <c r="D12" s="13">
        <f t="shared" si="1"/>
        <v>202.76580343206578</v>
      </c>
      <c r="E12" s="13">
        <f t="shared" si="2"/>
        <v>0</v>
      </c>
      <c r="F12" s="13">
        <f t="shared" si="3"/>
        <v>202.76580343206578</v>
      </c>
    </row>
    <row r="13" spans="1:7">
      <c r="A13" s="12">
        <v>7</v>
      </c>
      <c r="B13" s="13">
        <f t="shared" si="4"/>
        <v>202.76580343206578</v>
      </c>
      <c r="C13" s="14">
        <f t="shared" si="0"/>
        <v>0.46467163286515073</v>
      </c>
      <c r="D13" s="13">
        <f t="shared" si="1"/>
        <v>203.23047506493094</v>
      </c>
      <c r="E13" s="13">
        <f t="shared" si="2"/>
        <v>0</v>
      </c>
      <c r="F13" s="13">
        <f t="shared" si="3"/>
        <v>203.23047506493094</v>
      </c>
    </row>
    <row r="14" spans="1:7">
      <c r="A14" s="12">
        <v>8</v>
      </c>
      <c r="B14" s="13">
        <f t="shared" si="4"/>
        <v>203.23047506493094</v>
      </c>
      <c r="C14" s="14">
        <f t="shared" si="0"/>
        <v>0.4657365053571334</v>
      </c>
      <c r="D14" s="13">
        <f t="shared" si="1"/>
        <v>203.69621157028809</v>
      </c>
      <c r="E14" s="13">
        <f t="shared" si="2"/>
        <v>0</v>
      </c>
      <c r="F14" s="13">
        <f t="shared" si="3"/>
        <v>203.69621157028809</v>
      </c>
    </row>
    <row r="15" spans="1:7">
      <c r="A15" s="12">
        <v>9</v>
      </c>
      <c r="B15" s="13">
        <f t="shared" si="4"/>
        <v>203.69621157028809</v>
      </c>
      <c r="C15" s="14">
        <f t="shared" si="0"/>
        <v>0.46680381818191019</v>
      </c>
      <c r="D15" s="13">
        <f t="shared" si="1"/>
        <v>204.16301538847</v>
      </c>
      <c r="E15" s="13">
        <f t="shared" si="2"/>
        <v>0</v>
      </c>
      <c r="F15" s="13">
        <f t="shared" si="3"/>
        <v>204.16301538847</v>
      </c>
    </row>
    <row r="16" spans="1:7">
      <c r="A16" s="12">
        <v>10</v>
      </c>
      <c r="B16" s="13">
        <f t="shared" si="4"/>
        <v>204.16301538847</v>
      </c>
      <c r="C16" s="14">
        <f t="shared" si="0"/>
        <v>0.4678735769319104</v>
      </c>
      <c r="D16" s="13">
        <f t="shared" si="1"/>
        <v>204.63088896540191</v>
      </c>
      <c r="E16" s="13">
        <f t="shared" si="2"/>
        <v>0</v>
      </c>
      <c r="F16" s="13">
        <f t="shared" si="3"/>
        <v>204.63088896540191</v>
      </c>
    </row>
    <row r="17" spans="1:6">
      <c r="A17" s="12">
        <v>11</v>
      </c>
      <c r="B17" s="13">
        <f t="shared" si="4"/>
        <v>204.63088896540191</v>
      </c>
      <c r="C17" s="14">
        <f t="shared" si="0"/>
        <v>0.46894578721237939</v>
      </c>
      <c r="D17" s="13">
        <f t="shared" si="1"/>
        <v>205.0998347526143</v>
      </c>
      <c r="E17" s="13">
        <f t="shared" si="2"/>
        <v>0</v>
      </c>
      <c r="F17" s="13">
        <f t="shared" si="3"/>
        <v>205.0998347526143</v>
      </c>
    </row>
    <row r="18" spans="1:6">
      <c r="A18" s="12">
        <v>12</v>
      </c>
      <c r="B18" s="13">
        <f t="shared" si="4"/>
        <v>205.0998347526143</v>
      </c>
      <c r="C18" s="14">
        <f t="shared" si="0"/>
        <v>0.47002045464140779</v>
      </c>
      <c r="D18" s="13">
        <f t="shared" si="1"/>
        <v>205.5698552072557</v>
      </c>
      <c r="E18" s="13">
        <f t="shared" si="2"/>
        <v>0</v>
      </c>
      <c r="F18" s="13">
        <f t="shared" si="3"/>
        <v>205.5698552072557</v>
      </c>
    </row>
    <row r="19" spans="1:6">
      <c r="A19" s="12">
        <v>13</v>
      </c>
      <c r="B19" s="13">
        <f t="shared" si="4"/>
        <v>205.5698552072557</v>
      </c>
      <c r="C19" s="14">
        <f t="shared" si="0"/>
        <v>0.471097584849961</v>
      </c>
      <c r="D19" s="13">
        <f t="shared" si="1"/>
        <v>206.04095279210566</v>
      </c>
      <c r="E19" s="13">
        <f t="shared" si="2"/>
        <v>0</v>
      </c>
      <c r="F19" s="13">
        <f t="shared" si="3"/>
        <v>206.04095279210566</v>
      </c>
    </row>
    <row r="20" spans="1:6">
      <c r="A20" s="12">
        <v>14</v>
      </c>
      <c r="B20" s="13">
        <f t="shared" si="4"/>
        <v>206.04095279210566</v>
      </c>
      <c r="C20" s="14">
        <f t="shared" si="0"/>
        <v>0.47217718348190879</v>
      </c>
      <c r="D20" s="13">
        <f t="shared" si="1"/>
        <v>206.51312997558756</v>
      </c>
      <c r="E20" s="13">
        <f t="shared" si="2"/>
        <v>0</v>
      </c>
      <c r="F20" s="13">
        <f t="shared" si="3"/>
        <v>206.51312997558756</v>
      </c>
    </row>
    <row r="21" spans="1:6">
      <c r="A21" s="12">
        <v>15</v>
      </c>
      <c r="B21" s="13">
        <f t="shared" si="4"/>
        <v>206.51312997558756</v>
      </c>
      <c r="C21" s="14">
        <f t="shared" si="0"/>
        <v>0.47325925619405484</v>
      </c>
      <c r="D21" s="13">
        <f t="shared" si="1"/>
        <v>206.9863892317816</v>
      </c>
      <c r="E21" s="13">
        <f t="shared" si="2"/>
        <v>0</v>
      </c>
      <c r="F21" s="13">
        <f t="shared" si="3"/>
        <v>206.9863892317816</v>
      </c>
    </row>
    <row r="22" spans="1:6">
      <c r="A22" s="12">
        <v>16</v>
      </c>
      <c r="B22" s="13">
        <f t="shared" si="4"/>
        <v>206.9863892317816</v>
      </c>
      <c r="C22" s="14">
        <f t="shared" si="0"/>
        <v>0.47434380865616615</v>
      </c>
      <c r="D22" s="13">
        <f t="shared" si="1"/>
        <v>207.46073304043776</v>
      </c>
      <c r="E22" s="13">
        <f t="shared" si="2"/>
        <v>0</v>
      </c>
      <c r="F22" s="13">
        <f t="shared" si="3"/>
        <v>207.46073304043776</v>
      </c>
    </row>
    <row r="23" spans="1:6">
      <c r="A23" s="12">
        <v>17</v>
      </c>
      <c r="B23" s="13">
        <f t="shared" si="4"/>
        <v>207.46073304043776</v>
      </c>
      <c r="C23" s="14">
        <f t="shared" si="0"/>
        <v>0.47543084655100321</v>
      </c>
      <c r="D23" s="13">
        <f t="shared" si="1"/>
        <v>207.93616388698877</v>
      </c>
      <c r="E23" s="13">
        <f t="shared" si="2"/>
        <v>0</v>
      </c>
      <c r="F23" s="13">
        <f t="shared" si="3"/>
        <v>207.93616388698877</v>
      </c>
    </row>
    <row r="24" spans="1:6">
      <c r="A24" s="12">
        <v>18</v>
      </c>
      <c r="B24" s="13">
        <f t="shared" si="4"/>
        <v>207.93616388698877</v>
      </c>
      <c r="C24" s="14">
        <f t="shared" si="0"/>
        <v>0.47652037557434923</v>
      </c>
      <c r="D24" s="13">
        <f t="shared" si="1"/>
        <v>208.41268426256312</v>
      </c>
      <c r="E24" s="13">
        <f t="shared" si="2"/>
        <v>0</v>
      </c>
      <c r="F24" s="13">
        <f t="shared" si="3"/>
        <v>208.41268426256312</v>
      </c>
    </row>
    <row r="25" spans="1:6">
      <c r="A25" s="12">
        <v>19</v>
      </c>
      <c r="B25" s="13">
        <f t="shared" si="4"/>
        <v>208.41268426256312</v>
      </c>
      <c r="C25" s="14">
        <f t="shared" si="0"/>
        <v>0.47761240143504047</v>
      </c>
      <c r="D25" s="13">
        <f t="shared" si="1"/>
        <v>208.89029666399816</v>
      </c>
      <c r="E25" s="13">
        <f t="shared" si="2"/>
        <v>0</v>
      </c>
      <c r="F25" s="13">
        <f t="shared" si="3"/>
        <v>208.89029666399816</v>
      </c>
    </row>
    <row r="26" spans="1:6">
      <c r="A26" s="12">
        <v>20</v>
      </c>
      <c r="B26" s="13">
        <f t="shared" si="4"/>
        <v>208.89029666399816</v>
      </c>
      <c r="C26" s="14">
        <f t="shared" si="0"/>
        <v>0.4787069298549958</v>
      </c>
      <c r="D26" s="13">
        <f t="shared" si="1"/>
        <v>209.36900359385317</v>
      </c>
      <c r="E26" s="13">
        <f t="shared" si="2"/>
        <v>0</v>
      </c>
      <c r="F26" s="13">
        <f t="shared" si="3"/>
        <v>209.36900359385317</v>
      </c>
    </row>
    <row r="27" spans="1:6">
      <c r="A27" s="12">
        <v>21</v>
      </c>
      <c r="B27" s="13">
        <f t="shared" si="4"/>
        <v>209.36900359385317</v>
      </c>
      <c r="C27" s="14">
        <f t="shared" si="0"/>
        <v>0.47980396656924684</v>
      </c>
      <c r="D27" s="13">
        <f t="shared" si="1"/>
        <v>209.84880756042242</v>
      </c>
      <c r="E27" s="13">
        <f t="shared" si="2"/>
        <v>0</v>
      </c>
      <c r="F27" s="13">
        <f t="shared" si="3"/>
        <v>209.84880756042242</v>
      </c>
    </row>
    <row r="28" spans="1:6">
      <c r="A28" s="12">
        <v>22</v>
      </c>
      <c r="B28" s="13">
        <f t="shared" si="4"/>
        <v>209.84880756042242</v>
      </c>
      <c r="C28" s="14">
        <f t="shared" si="0"/>
        <v>0.48090351732596803</v>
      </c>
      <c r="D28" s="13">
        <f t="shared" si="1"/>
        <v>210.32971107774839</v>
      </c>
      <c r="E28" s="13">
        <f t="shared" si="2"/>
        <v>0</v>
      </c>
      <c r="F28" s="13">
        <f t="shared" si="3"/>
        <v>210.32971107774839</v>
      </c>
    </row>
    <row r="29" spans="1:6">
      <c r="A29" s="12">
        <v>23</v>
      </c>
      <c r="B29" s="13">
        <f t="shared" si="4"/>
        <v>210.32971107774839</v>
      </c>
      <c r="C29" s="14">
        <f t="shared" si="0"/>
        <v>0.48200558788650671</v>
      </c>
      <c r="D29" s="13">
        <f t="shared" si="1"/>
        <v>210.81171666563489</v>
      </c>
      <c r="E29" s="13">
        <f t="shared" si="2"/>
        <v>0</v>
      </c>
      <c r="F29" s="13">
        <f t="shared" si="3"/>
        <v>210.81171666563489</v>
      </c>
    </row>
    <row r="30" spans="1:6">
      <c r="A30" s="12">
        <v>24</v>
      </c>
      <c r="B30" s="13">
        <f t="shared" si="4"/>
        <v>210.81171666563489</v>
      </c>
      <c r="C30" s="14">
        <f t="shared" si="0"/>
        <v>0.48311018402541328</v>
      </c>
      <c r="D30" s="13">
        <f t="shared" si="1"/>
        <v>211.2948268496603</v>
      </c>
      <c r="E30" s="13">
        <f t="shared" si="2"/>
        <v>0</v>
      </c>
      <c r="F30" s="13">
        <f t="shared" si="3"/>
        <v>211.2948268496603</v>
      </c>
    </row>
    <row r="31" spans="1:6">
      <c r="A31" s="12">
        <v>25</v>
      </c>
      <c r="B31" s="13">
        <f t="shared" si="4"/>
        <v>211.2948268496603</v>
      </c>
      <c r="C31" s="14">
        <f t="shared" si="0"/>
        <v>0.48421731153047154</v>
      </c>
      <c r="D31" s="13">
        <f t="shared" si="1"/>
        <v>211.77904416119077</v>
      </c>
      <c r="E31" s="13">
        <f t="shared" si="2"/>
        <v>0</v>
      </c>
      <c r="F31" s="13">
        <f t="shared" si="3"/>
        <v>211.77904416119077</v>
      </c>
    </row>
    <row r="32" spans="1:6">
      <c r="A32" s="12">
        <v>26</v>
      </c>
      <c r="B32" s="13">
        <f t="shared" si="4"/>
        <v>211.77904416119077</v>
      </c>
      <c r="C32" s="14">
        <f t="shared" si="0"/>
        <v>0.48532697620272885</v>
      </c>
      <c r="D32" s="13">
        <f t="shared" si="1"/>
        <v>212.26437113739351</v>
      </c>
      <c r="E32" s="13">
        <f t="shared" si="2"/>
        <v>0</v>
      </c>
      <c r="F32" s="13">
        <f t="shared" si="3"/>
        <v>212.26437113739351</v>
      </c>
    </row>
    <row r="33" spans="1:6">
      <c r="A33" s="12">
        <v>27</v>
      </c>
      <c r="B33" s="13">
        <f t="shared" si="4"/>
        <v>212.26437113739351</v>
      </c>
      <c r="C33" s="14">
        <f t="shared" si="0"/>
        <v>0.48643918385652679</v>
      </c>
      <c r="D33" s="13">
        <f t="shared" si="1"/>
        <v>212.75081032125004</v>
      </c>
      <c r="E33" s="13">
        <f t="shared" si="2"/>
        <v>0</v>
      </c>
      <c r="F33" s="13">
        <f t="shared" si="3"/>
        <v>212.75081032125004</v>
      </c>
    </row>
    <row r="34" spans="1:6">
      <c r="A34" s="12">
        <v>28</v>
      </c>
      <c r="B34" s="13">
        <f t="shared" si="4"/>
        <v>212.75081032125004</v>
      </c>
      <c r="C34" s="14">
        <f t="shared" si="0"/>
        <v>0.48755394031953136</v>
      </c>
      <c r="D34" s="13">
        <f t="shared" si="1"/>
        <v>213.23836426156959</v>
      </c>
      <c r="E34" s="13">
        <f t="shared" si="2"/>
        <v>0</v>
      </c>
      <c r="F34" s="13">
        <f t="shared" si="3"/>
        <v>213.23836426156959</v>
      </c>
    </row>
    <row r="35" spans="1:6">
      <c r="A35" s="12">
        <v>29</v>
      </c>
      <c r="B35" s="13">
        <f t="shared" si="4"/>
        <v>213.23836426156959</v>
      </c>
      <c r="C35" s="14">
        <f t="shared" si="0"/>
        <v>0.48867125143276363</v>
      </c>
      <c r="D35" s="13">
        <f t="shared" si="1"/>
        <v>213.72703551300236</v>
      </c>
      <c r="E35" s="13">
        <f t="shared" si="2"/>
        <v>0</v>
      </c>
      <c r="F35" s="13">
        <f t="shared" si="3"/>
        <v>213.72703551300236</v>
      </c>
    </row>
    <row r="36" spans="1:6">
      <c r="A36" s="12">
        <v>30</v>
      </c>
      <c r="B36" s="13">
        <f t="shared" si="4"/>
        <v>213.72703551300236</v>
      </c>
      <c r="C36" s="14">
        <f t="shared" si="0"/>
        <v>0.48979112305063044</v>
      </c>
      <c r="D36" s="13">
        <f t="shared" si="1"/>
        <v>214.21682663605299</v>
      </c>
      <c r="E36" s="13">
        <f t="shared" si="2"/>
        <v>0</v>
      </c>
      <c r="F36" s="13">
        <f t="shared" si="3"/>
        <v>214.21682663605299</v>
      </c>
    </row>
    <row r="37" spans="1:6">
      <c r="A37" s="12">
        <v>31</v>
      </c>
      <c r="B37" s="13">
        <f t="shared" si="4"/>
        <v>214.21682663605299</v>
      </c>
      <c r="C37" s="14">
        <f t="shared" si="0"/>
        <v>0.49091356104095474</v>
      </c>
      <c r="D37" s="13">
        <f t="shared" si="1"/>
        <v>214.70774019709393</v>
      </c>
      <c r="E37" s="13">
        <f t="shared" si="2"/>
        <v>0</v>
      </c>
      <c r="F37" s="13">
        <f t="shared" si="3"/>
        <v>214.70774019709393</v>
      </c>
    </row>
    <row r="38" spans="1:6">
      <c r="A38" s="12">
        <v>32</v>
      </c>
      <c r="B38" s="13">
        <f t="shared" si="4"/>
        <v>214.70774019709393</v>
      </c>
      <c r="C38" s="14">
        <f t="shared" si="0"/>
        <v>0.49203857128500694</v>
      </c>
      <c r="D38" s="13">
        <f t="shared" si="1"/>
        <v>215.19977876837893</v>
      </c>
      <c r="E38" s="13">
        <f t="shared" si="2"/>
        <v>0</v>
      </c>
      <c r="F38" s="13">
        <f t="shared" si="3"/>
        <v>215.19977876837893</v>
      </c>
    </row>
    <row r="39" spans="1:6">
      <c r="A39" s="12">
        <v>33</v>
      </c>
      <c r="B39" s="13">
        <f t="shared" si="4"/>
        <v>215.19977876837893</v>
      </c>
      <c r="C39" s="14">
        <f t="shared" si="0"/>
        <v>0.49316615967753508</v>
      </c>
      <c r="D39" s="13">
        <f t="shared" si="1"/>
        <v>215.69294492805648</v>
      </c>
      <c r="E39" s="13">
        <f t="shared" si="2"/>
        <v>0</v>
      </c>
      <c r="F39" s="13">
        <f t="shared" si="3"/>
        <v>215.69294492805648</v>
      </c>
    </row>
    <row r="40" spans="1:6">
      <c r="A40" s="12">
        <v>34</v>
      </c>
      <c r="B40" s="13">
        <f t="shared" si="4"/>
        <v>215.69294492805648</v>
      </c>
      <c r="C40" s="14">
        <f t="shared" si="0"/>
        <v>0.49429633212679608</v>
      </c>
      <c r="D40" s="13">
        <f t="shared" si="1"/>
        <v>216.18724126018327</v>
      </c>
      <c r="E40" s="13">
        <f t="shared" si="2"/>
        <v>0</v>
      </c>
      <c r="F40" s="13">
        <f t="shared" si="3"/>
        <v>216.18724126018327</v>
      </c>
    </row>
    <row r="41" spans="1:6">
      <c r="A41" s="12">
        <v>35</v>
      </c>
      <c r="B41" s="13">
        <f t="shared" si="4"/>
        <v>216.18724126018327</v>
      </c>
      <c r="C41" s="14">
        <f t="shared" si="0"/>
        <v>0.49542909455458667</v>
      </c>
      <c r="D41" s="13">
        <f t="shared" si="1"/>
        <v>216.68267035473787</v>
      </c>
      <c r="E41" s="13">
        <f t="shared" si="2"/>
        <v>0</v>
      </c>
      <c r="F41" s="13">
        <f t="shared" si="3"/>
        <v>216.68267035473787</v>
      </c>
    </row>
    <row r="42" spans="1:6">
      <c r="A42" s="12">
        <v>36</v>
      </c>
      <c r="B42" s="13">
        <f t="shared" si="4"/>
        <v>216.68267035473787</v>
      </c>
      <c r="C42" s="14">
        <f t="shared" si="0"/>
        <v>0.49656445289627432</v>
      </c>
      <c r="D42" s="13">
        <f t="shared" si="1"/>
        <v>217.17923480763415</v>
      </c>
      <c r="E42" s="13">
        <f t="shared" si="2"/>
        <v>0</v>
      </c>
      <c r="F42" s="13">
        <f t="shared" si="3"/>
        <v>217.17923480763415</v>
      </c>
    </row>
    <row r="43" spans="1:6">
      <c r="A43" s="12">
        <v>37</v>
      </c>
      <c r="B43" s="13">
        <f t="shared" si="4"/>
        <v>217.17923480763415</v>
      </c>
      <c r="C43" s="14">
        <f t="shared" si="0"/>
        <v>0.49770241310082824</v>
      </c>
      <c r="D43" s="13">
        <f t="shared" si="1"/>
        <v>217.67693722073497</v>
      </c>
      <c r="E43" s="13">
        <f t="shared" si="2"/>
        <v>0</v>
      </c>
      <c r="F43" s="13">
        <f t="shared" si="3"/>
        <v>217.67693722073497</v>
      </c>
    </row>
    <row r="44" spans="1:6">
      <c r="A44" s="12">
        <v>38</v>
      </c>
      <c r="B44" s="13">
        <f t="shared" si="4"/>
        <v>217.67693722073497</v>
      </c>
      <c r="C44" s="14">
        <f t="shared" si="0"/>
        <v>0.49884298113085102</v>
      </c>
      <c r="D44" s="13">
        <f t="shared" si="1"/>
        <v>218.17578020186582</v>
      </c>
      <c r="E44" s="13">
        <f t="shared" si="2"/>
        <v>0</v>
      </c>
      <c r="F44" s="13">
        <f t="shared" si="3"/>
        <v>218.17578020186582</v>
      </c>
    </row>
    <row r="45" spans="1:6">
      <c r="A45" s="12">
        <v>39</v>
      </c>
      <c r="B45" s="13">
        <f t="shared" si="4"/>
        <v>218.17578020186582</v>
      </c>
      <c r="C45" s="14">
        <f t="shared" si="0"/>
        <v>0.49998616296260912</v>
      </c>
      <c r="D45" s="13">
        <f t="shared" si="1"/>
        <v>218.67576636482843</v>
      </c>
      <c r="E45" s="13">
        <f t="shared" si="2"/>
        <v>0</v>
      </c>
      <c r="F45" s="13">
        <f t="shared" si="3"/>
        <v>218.67576636482843</v>
      </c>
    </row>
    <row r="46" spans="1:6">
      <c r="A46" s="12">
        <v>40</v>
      </c>
      <c r="B46" s="13">
        <f t="shared" si="4"/>
        <v>218.67576636482843</v>
      </c>
      <c r="C46" s="14">
        <f t="shared" si="0"/>
        <v>0.50113196458606524</v>
      </c>
      <c r="D46" s="13">
        <f t="shared" si="1"/>
        <v>219.17689832941448</v>
      </c>
      <c r="E46" s="13">
        <f t="shared" si="2"/>
        <v>0</v>
      </c>
      <c r="F46" s="13">
        <f t="shared" si="3"/>
        <v>219.17689832941448</v>
      </c>
    </row>
    <row r="47" spans="1:6">
      <c r="A47" s="12">
        <v>41</v>
      </c>
      <c r="B47" s="13">
        <f t="shared" si="4"/>
        <v>219.17689832941448</v>
      </c>
      <c r="C47" s="14">
        <f t="shared" si="0"/>
        <v>0.50228039200490815</v>
      </c>
      <c r="D47" s="13">
        <f t="shared" si="1"/>
        <v>219.67917872141939</v>
      </c>
      <c r="E47" s="13">
        <f t="shared" si="2"/>
        <v>0</v>
      </c>
      <c r="F47" s="13">
        <f t="shared" si="3"/>
        <v>219.67917872141939</v>
      </c>
    </row>
    <row r="48" spans="1:6">
      <c r="A48" s="12">
        <v>42</v>
      </c>
      <c r="B48" s="13">
        <f t="shared" si="4"/>
        <v>219.67917872141939</v>
      </c>
      <c r="C48" s="14">
        <f t="shared" si="0"/>
        <v>0.50343145123658606</v>
      </c>
      <c r="D48" s="13">
        <f t="shared" si="1"/>
        <v>220.18261017265598</v>
      </c>
      <c r="E48" s="13">
        <f t="shared" si="2"/>
        <v>0</v>
      </c>
      <c r="F48" s="13">
        <f t="shared" si="3"/>
        <v>220.18261017265598</v>
      </c>
    </row>
    <row r="49" spans="1:6">
      <c r="A49" s="12">
        <v>43</v>
      </c>
      <c r="B49" s="13">
        <f t="shared" si="4"/>
        <v>220.18261017265598</v>
      </c>
      <c r="C49" s="14">
        <f t="shared" si="0"/>
        <v>0.50458514831233658</v>
      </c>
      <c r="D49" s="13">
        <f t="shared" si="1"/>
        <v>220.68719532096833</v>
      </c>
      <c r="E49" s="13">
        <f t="shared" si="2"/>
        <v>0</v>
      </c>
      <c r="F49" s="13">
        <f t="shared" si="3"/>
        <v>220.68719532096833</v>
      </c>
    </row>
    <row r="50" spans="1:6">
      <c r="A50" s="12">
        <v>44</v>
      </c>
      <c r="B50" s="13">
        <f t="shared" si="4"/>
        <v>220.68719532096833</v>
      </c>
      <c r="C50" s="14">
        <f t="shared" si="0"/>
        <v>0.50574148927721918</v>
      </c>
      <c r="D50" s="13">
        <f t="shared" si="1"/>
        <v>221.19293681024556</v>
      </c>
      <c r="E50" s="13">
        <f t="shared" si="2"/>
        <v>0</v>
      </c>
      <c r="F50" s="13">
        <f t="shared" si="3"/>
        <v>221.19293681024556</v>
      </c>
    </row>
    <row r="51" spans="1:6">
      <c r="A51" s="12">
        <v>45</v>
      </c>
      <c r="B51" s="13">
        <f t="shared" si="4"/>
        <v>221.19293681024556</v>
      </c>
      <c r="C51" s="14">
        <f t="shared" si="0"/>
        <v>0.506900480190146</v>
      </c>
      <c r="D51" s="13">
        <f t="shared" si="1"/>
        <v>221.69983729043571</v>
      </c>
      <c r="E51" s="13">
        <f t="shared" si="2"/>
        <v>0</v>
      </c>
      <c r="F51" s="13">
        <f t="shared" si="3"/>
        <v>221.69983729043571</v>
      </c>
    </row>
    <row r="52" spans="1:6">
      <c r="A52" s="12">
        <v>46</v>
      </c>
      <c r="B52" s="13">
        <f t="shared" si="4"/>
        <v>221.69983729043571</v>
      </c>
      <c r="C52" s="14">
        <f t="shared" si="0"/>
        <v>0.50806212712391519</v>
      </c>
      <c r="D52" s="13">
        <f t="shared" si="1"/>
        <v>222.20789941755962</v>
      </c>
      <c r="E52" s="13">
        <f t="shared" si="2"/>
        <v>0</v>
      </c>
      <c r="F52" s="13">
        <f t="shared" si="3"/>
        <v>222.20789941755962</v>
      </c>
    </row>
    <row r="53" spans="1:6">
      <c r="A53" s="12">
        <v>47</v>
      </c>
      <c r="B53" s="13">
        <f t="shared" si="4"/>
        <v>222.20789941755962</v>
      </c>
      <c r="C53" s="14">
        <f t="shared" si="0"/>
        <v>0.50922643616524088</v>
      </c>
      <c r="D53" s="13">
        <f t="shared" si="1"/>
        <v>222.71712585372487</v>
      </c>
      <c r="E53" s="13">
        <f t="shared" si="2"/>
        <v>0</v>
      </c>
      <c r="F53" s="13">
        <f t="shared" si="3"/>
        <v>222.71712585372487</v>
      </c>
    </row>
    <row r="54" spans="1:6">
      <c r="A54" s="12">
        <v>48</v>
      </c>
      <c r="B54" s="13">
        <f t="shared" si="4"/>
        <v>222.71712585372487</v>
      </c>
      <c r="C54" s="14">
        <f t="shared" si="0"/>
        <v>0.51039341341478617</v>
      </c>
      <c r="D54" s="13">
        <f t="shared" si="1"/>
        <v>223.22751926713966</v>
      </c>
      <c r="E54" s="13">
        <f t="shared" si="2"/>
        <v>0</v>
      </c>
      <c r="F54" s="13">
        <f t="shared" si="3"/>
        <v>223.22751926713966</v>
      </c>
    </row>
    <row r="55" spans="1:6">
      <c r="A55" s="12">
        <v>49</v>
      </c>
      <c r="B55" s="13">
        <f t="shared" si="4"/>
        <v>223.22751926713966</v>
      </c>
      <c r="C55" s="14">
        <f t="shared" si="0"/>
        <v>0.51156306498719506</v>
      </c>
      <c r="D55" s="13">
        <f t="shared" si="1"/>
        <v>223.73908233212686</v>
      </c>
      <c r="E55" s="13">
        <f t="shared" si="2"/>
        <v>0</v>
      </c>
      <c r="F55" s="13">
        <f t="shared" si="3"/>
        <v>223.73908233212686</v>
      </c>
    </row>
    <row r="56" spans="1:6">
      <c r="A56" s="12">
        <v>50</v>
      </c>
      <c r="B56" s="13">
        <f t="shared" si="4"/>
        <v>223.73908233212686</v>
      </c>
      <c r="C56" s="14">
        <f t="shared" si="0"/>
        <v>0.51273539701112414</v>
      </c>
      <c r="D56" s="13">
        <f t="shared" si="1"/>
        <v>224.25181772913797</v>
      </c>
      <c r="E56" s="13">
        <f t="shared" si="2"/>
        <v>0</v>
      </c>
      <c r="F56" s="13">
        <f t="shared" si="3"/>
        <v>224.25181772913797</v>
      </c>
    </row>
    <row r="57" spans="1:6">
      <c r="A57" s="12">
        <v>51</v>
      </c>
      <c r="B57" s="13">
        <f t="shared" si="4"/>
        <v>224.25181772913797</v>
      </c>
      <c r="C57" s="14">
        <f t="shared" si="0"/>
        <v>0.51391041562927453</v>
      </c>
      <c r="D57" s="13">
        <f t="shared" si="1"/>
        <v>224.76572814476725</v>
      </c>
      <c r="E57" s="13">
        <f t="shared" si="2"/>
        <v>0</v>
      </c>
      <c r="F57" s="13">
        <f t="shared" si="3"/>
        <v>224.76572814476725</v>
      </c>
    </row>
    <row r="58" spans="1:6">
      <c r="A58" s="12">
        <v>52</v>
      </c>
      <c r="B58" s="13">
        <f t="shared" si="4"/>
        <v>224.76572814476725</v>
      </c>
      <c r="C58" s="14">
        <f t="shared" si="0"/>
        <v>0.51508812699842499</v>
      </c>
      <c r="D58" s="13">
        <f t="shared" si="1"/>
        <v>225.28081627176567</v>
      </c>
      <c r="E58" s="13">
        <f t="shared" si="2"/>
        <v>0</v>
      </c>
      <c r="F58" s="13">
        <f t="shared" si="3"/>
        <v>225.28081627176567</v>
      </c>
    </row>
    <row r="59" spans="1:6">
      <c r="A59" s="12">
        <v>53</v>
      </c>
      <c r="B59" s="13">
        <f t="shared" si="4"/>
        <v>225.28081627176567</v>
      </c>
      <c r="C59" s="14">
        <f t="shared" si="0"/>
        <v>0.51626853728946298</v>
      </c>
      <c r="D59" s="13">
        <f t="shared" si="1"/>
        <v>225.79708480905515</v>
      </c>
      <c r="E59" s="13">
        <f t="shared" si="2"/>
        <v>0</v>
      </c>
      <c r="F59" s="13">
        <f t="shared" si="3"/>
        <v>225.79708480905515</v>
      </c>
    </row>
    <row r="60" spans="1:6">
      <c r="A60" s="12">
        <v>54</v>
      </c>
      <c r="B60" s="13">
        <f t="shared" si="4"/>
        <v>225.79708480905515</v>
      </c>
      <c r="C60" s="14">
        <f t="shared" si="0"/>
        <v>0.51745165268741811</v>
      </c>
      <c r="D60" s="13">
        <f t="shared" si="1"/>
        <v>226.31453646174256</v>
      </c>
      <c r="E60" s="13">
        <f t="shared" si="2"/>
        <v>0</v>
      </c>
      <c r="F60" s="13">
        <f t="shared" si="3"/>
        <v>226.31453646174256</v>
      </c>
    </row>
    <row r="61" spans="1:6">
      <c r="A61" s="12">
        <v>55</v>
      </c>
      <c r="B61" s="13">
        <f t="shared" si="4"/>
        <v>226.31453646174256</v>
      </c>
      <c r="C61" s="14">
        <f t="shared" si="0"/>
        <v>0.51863747939149341</v>
      </c>
      <c r="D61" s="13">
        <f t="shared" si="1"/>
        <v>226.83317394113405</v>
      </c>
      <c r="E61" s="13">
        <f t="shared" si="2"/>
        <v>0</v>
      </c>
      <c r="F61" s="13">
        <f t="shared" si="3"/>
        <v>226.83317394113405</v>
      </c>
    </row>
    <row r="62" spans="1:6">
      <c r="A62" s="12">
        <v>56</v>
      </c>
      <c r="B62" s="13">
        <f t="shared" si="4"/>
        <v>226.83317394113405</v>
      </c>
      <c r="C62" s="14">
        <f t="shared" si="0"/>
        <v>0.51982602361509878</v>
      </c>
      <c r="D62" s="13">
        <f t="shared" si="1"/>
        <v>227.35299996474916</v>
      </c>
      <c r="E62" s="13">
        <f t="shared" si="2"/>
        <v>0</v>
      </c>
      <c r="F62" s="13">
        <f t="shared" si="3"/>
        <v>227.35299996474916</v>
      </c>
    </row>
    <row r="63" spans="1:6">
      <c r="A63" s="12">
        <v>57</v>
      </c>
      <c r="B63" s="13">
        <f t="shared" si="4"/>
        <v>227.35299996474916</v>
      </c>
      <c r="C63" s="14">
        <f t="shared" si="0"/>
        <v>0.5210172915858835</v>
      </c>
      <c r="D63" s="13">
        <f t="shared" si="1"/>
        <v>227.87401725633504</v>
      </c>
      <c r="E63" s="13">
        <f t="shared" si="2"/>
        <v>0</v>
      </c>
      <c r="F63" s="13">
        <f t="shared" si="3"/>
        <v>227.87401725633504</v>
      </c>
    </row>
    <row r="64" spans="1:6">
      <c r="A64" s="12">
        <v>58</v>
      </c>
      <c r="B64" s="13">
        <f t="shared" si="4"/>
        <v>227.87401725633504</v>
      </c>
      <c r="C64" s="14">
        <f t="shared" si="0"/>
        <v>0.52221128954576779</v>
      </c>
      <c r="D64" s="13">
        <f t="shared" si="1"/>
        <v>228.3962285458808</v>
      </c>
      <c r="E64" s="13">
        <f t="shared" si="2"/>
        <v>0</v>
      </c>
      <c r="F64" s="13">
        <f t="shared" si="3"/>
        <v>228.3962285458808</v>
      </c>
    </row>
    <row r="65" spans="1:6">
      <c r="A65" s="12">
        <v>59</v>
      </c>
      <c r="B65" s="13">
        <f t="shared" si="4"/>
        <v>228.3962285458808</v>
      </c>
      <c r="C65" s="14">
        <f t="shared" si="0"/>
        <v>0.52340802375097684</v>
      </c>
      <c r="D65" s="13">
        <f t="shared" si="1"/>
        <v>228.91963656963179</v>
      </c>
      <c r="E65" s="13">
        <f t="shared" si="2"/>
        <v>0</v>
      </c>
      <c r="F65" s="13">
        <f t="shared" si="3"/>
        <v>228.91963656963179</v>
      </c>
    </row>
    <row r="66" spans="1:6">
      <c r="A66" s="12">
        <v>60</v>
      </c>
      <c r="B66" s="13">
        <f t="shared" si="4"/>
        <v>228.91963656963179</v>
      </c>
      <c r="C66" s="14">
        <f t="shared" si="0"/>
        <v>0.52460750047207283</v>
      </c>
      <c r="D66" s="13">
        <f t="shared" si="1"/>
        <v>229.44424407010388</v>
      </c>
      <c r="E66" s="13">
        <f t="shared" si="2"/>
        <v>0</v>
      </c>
      <c r="F66" s="13">
        <f t="shared" si="3"/>
        <v>229.44424407010388</v>
      </c>
    </row>
    <row r="67" spans="1:6">
      <c r="A67" s="12">
        <v>61</v>
      </c>
      <c r="B67" s="13">
        <f t="shared" si="4"/>
        <v>229.44424407010388</v>
      </c>
      <c r="C67" s="14">
        <f t="shared" si="0"/>
        <v>0.52580972599398801</v>
      </c>
      <c r="D67" s="13">
        <f t="shared" si="1"/>
        <v>229.97005379609786</v>
      </c>
      <c r="E67" s="13">
        <f t="shared" si="2"/>
        <v>0</v>
      </c>
      <c r="F67" s="13">
        <f t="shared" si="3"/>
        <v>229.97005379609786</v>
      </c>
    </row>
    <row r="68" spans="1:6">
      <c r="A68" s="12">
        <v>62</v>
      </c>
      <c r="B68" s="13">
        <f t="shared" si="4"/>
        <v>229.97005379609786</v>
      </c>
      <c r="C68" s="14">
        <f t="shared" si="0"/>
        <v>0.52701470661605765</v>
      </c>
      <c r="D68" s="13">
        <f t="shared" si="1"/>
        <v>230.49706850271392</v>
      </c>
      <c r="E68" s="13">
        <f t="shared" si="2"/>
        <v>0</v>
      </c>
      <c r="F68" s="13">
        <f t="shared" si="3"/>
        <v>230.49706850271392</v>
      </c>
    </row>
    <row r="69" spans="1:6">
      <c r="A69" s="12">
        <v>63</v>
      </c>
      <c r="B69" s="13">
        <f t="shared" si="4"/>
        <v>230.49706850271392</v>
      </c>
      <c r="C69" s="14">
        <f t="shared" si="0"/>
        <v>0.5282224486520527</v>
      </c>
      <c r="D69" s="13">
        <f t="shared" si="1"/>
        <v>231.02529095136597</v>
      </c>
      <c r="E69" s="13">
        <f t="shared" si="2"/>
        <v>0</v>
      </c>
      <c r="F69" s="13">
        <f t="shared" si="3"/>
        <v>231.02529095136597</v>
      </c>
    </row>
    <row r="70" spans="1:6">
      <c r="A70" s="12">
        <v>64</v>
      </c>
      <c r="B70" s="13">
        <f t="shared" si="4"/>
        <v>231.02529095136597</v>
      </c>
      <c r="C70" s="14">
        <f t="shared" si="0"/>
        <v>0.52943295843021376</v>
      </c>
      <c r="D70" s="13">
        <f t="shared" si="1"/>
        <v>231.55472390979619</v>
      </c>
      <c r="E70" s="13">
        <f t="shared" si="2"/>
        <v>0</v>
      </c>
      <c r="F70" s="13">
        <f t="shared" si="3"/>
        <v>231.55472390979619</v>
      </c>
    </row>
    <row r="71" spans="1:6">
      <c r="A71" s="12">
        <v>65</v>
      </c>
      <c r="B71" s="13">
        <f t="shared" si="4"/>
        <v>231.55472390979619</v>
      </c>
      <c r="C71" s="14">
        <f t="shared" ref="C71:C134" si="5">-IPMT($C$3/12,1,$C$4*12,B71)</f>
        <v>0.53064624229328305</v>
      </c>
      <c r="D71" s="13">
        <f t="shared" ref="D71:D134" si="6">SUM(B71:C71)</f>
        <v>232.08537015208947</v>
      </c>
      <c r="E71" s="13">
        <f t="shared" ref="E71:E134" si="7">C71-(C71*$C$5)</f>
        <v>0</v>
      </c>
      <c r="F71" s="13">
        <f t="shared" ref="F71:F134" si="8">D71-E71</f>
        <v>232.08537015208947</v>
      </c>
    </row>
    <row r="72" spans="1:6">
      <c r="A72" s="12">
        <v>66</v>
      </c>
      <c r="B72" s="13">
        <f t="shared" ref="B72:B135" si="9">F71</f>
        <v>232.08537015208947</v>
      </c>
      <c r="C72" s="14">
        <f t="shared" si="5"/>
        <v>0.53186230659853839</v>
      </c>
      <c r="D72" s="13">
        <f t="shared" si="6"/>
        <v>232.61723245868799</v>
      </c>
      <c r="E72" s="13">
        <f t="shared" si="7"/>
        <v>0</v>
      </c>
      <c r="F72" s="13">
        <f t="shared" si="8"/>
        <v>232.61723245868799</v>
      </c>
    </row>
    <row r="73" spans="1:6">
      <c r="A73" s="12">
        <v>67</v>
      </c>
      <c r="B73" s="13">
        <f t="shared" si="9"/>
        <v>232.61723245868799</v>
      </c>
      <c r="C73" s="14">
        <f t="shared" si="5"/>
        <v>0.5330811577178266</v>
      </c>
      <c r="D73" s="13">
        <f t="shared" si="6"/>
        <v>233.15031361640581</v>
      </c>
      <c r="E73" s="13">
        <f t="shared" si="7"/>
        <v>0</v>
      </c>
      <c r="F73" s="13">
        <f t="shared" si="8"/>
        <v>233.15031361640581</v>
      </c>
    </row>
    <row r="74" spans="1:6">
      <c r="A74" s="12">
        <v>68</v>
      </c>
      <c r="B74" s="13">
        <f t="shared" si="9"/>
        <v>233.15031361640581</v>
      </c>
      <c r="C74" s="14">
        <f t="shared" si="5"/>
        <v>0.53430280203759672</v>
      </c>
      <c r="D74" s="13">
        <f t="shared" si="6"/>
        <v>233.6846164184434</v>
      </c>
      <c r="E74" s="13">
        <f t="shared" si="7"/>
        <v>0</v>
      </c>
      <c r="F74" s="13">
        <f t="shared" si="8"/>
        <v>233.6846164184434</v>
      </c>
    </row>
    <row r="75" spans="1:6">
      <c r="A75" s="12">
        <v>69</v>
      </c>
      <c r="B75" s="13">
        <f t="shared" si="9"/>
        <v>233.6846164184434</v>
      </c>
      <c r="C75" s="14">
        <f t="shared" si="5"/>
        <v>0.53552724595893275</v>
      </c>
      <c r="D75" s="13">
        <f t="shared" si="6"/>
        <v>234.22014366440234</v>
      </c>
      <c r="E75" s="13">
        <f t="shared" si="7"/>
        <v>0</v>
      </c>
      <c r="F75" s="13">
        <f t="shared" si="8"/>
        <v>234.22014366440234</v>
      </c>
    </row>
    <row r="76" spans="1:6">
      <c r="A76" s="12">
        <v>70</v>
      </c>
      <c r="B76" s="13">
        <f t="shared" si="9"/>
        <v>234.22014366440234</v>
      </c>
      <c r="C76" s="14">
        <f t="shared" si="5"/>
        <v>0.53675449589758872</v>
      </c>
      <c r="D76" s="13">
        <f t="shared" si="6"/>
        <v>234.75689816029993</v>
      </c>
      <c r="E76" s="13">
        <f t="shared" si="7"/>
        <v>0</v>
      </c>
      <c r="F76" s="13">
        <f t="shared" si="8"/>
        <v>234.75689816029993</v>
      </c>
    </row>
    <row r="77" spans="1:6">
      <c r="A77" s="12">
        <v>71</v>
      </c>
      <c r="B77" s="13">
        <f t="shared" si="9"/>
        <v>234.75689816029993</v>
      </c>
      <c r="C77" s="14">
        <f t="shared" si="5"/>
        <v>0.5379845582840207</v>
      </c>
      <c r="D77" s="13">
        <f t="shared" si="6"/>
        <v>235.29488271858395</v>
      </c>
      <c r="E77" s="13">
        <f t="shared" si="7"/>
        <v>0</v>
      </c>
      <c r="F77" s="13">
        <f t="shared" si="8"/>
        <v>235.29488271858395</v>
      </c>
    </row>
    <row r="78" spans="1:6">
      <c r="A78" s="12">
        <v>72</v>
      </c>
      <c r="B78" s="13">
        <f t="shared" si="9"/>
        <v>235.29488271858395</v>
      </c>
      <c r="C78" s="14">
        <f t="shared" si="5"/>
        <v>0.53921743956342161</v>
      </c>
      <c r="D78" s="13">
        <f t="shared" si="6"/>
        <v>235.83410015814738</v>
      </c>
      <c r="E78" s="13">
        <f t="shared" si="7"/>
        <v>0</v>
      </c>
      <c r="F78" s="13">
        <f t="shared" si="8"/>
        <v>235.83410015814738</v>
      </c>
    </row>
    <row r="79" spans="1:6">
      <c r="A79" s="12">
        <v>73</v>
      </c>
      <c r="B79" s="13">
        <f t="shared" si="9"/>
        <v>235.83410015814738</v>
      </c>
      <c r="C79" s="14">
        <f t="shared" si="5"/>
        <v>0.54045314619575446</v>
      </c>
      <c r="D79" s="13">
        <f t="shared" si="6"/>
        <v>236.37455330434312</v>
      </c>
      <c r="E79" s="13">
        <f t="shared" si="7"/>
        <v>0</v>
      </c>
      <c r="F79" s="13">
        <f t="shared" si="8"/>
        <v>236.37455330434312</v>
      </c>
    </row>
    <row r="80" spans="1:6">
      <c r="A80" s="12">
        <v>74</v>
      </c>
      <c r="B80" s="13">
        <f t="shared" si="9"/>
        <v>236.37455330434312</v>
      </c>
      <c r="C80" s="14">
        <f t="shared" si="5"/>
        <v>0.54169168465578621</v>
      </c>
      <c r="D80" s="13">
        <f t="shared" si="6"/>
        <v>236.9162449889989</v>
      </c>
      <c r="E80" s="13">
        <f t="shared" si="7"/>
        <v>0</v>
      </c>
      <c r="F80" s="13">
        <f t="shared" si="8"/>
        <v>236.9162449889989</v>
      </c>
    </row>
    <row r="81" spans="1:6">
      <c r="A81" s="12">
        <v>75</v>
      </c>
      <c r="B81" s="13">
        <f t="shared" si="9"/>
        <v>236.9162449889989</v>
      </c>
      <c r="C81" s="14">
        <f t="shared" si="5"/>
        <v>0.54293306143312237</v>
      </c>
      <c r="D81" s="13">
        <f t="shared" si="6"/>
        <v>237.45917805043203</v>
      </c>
      <c r="E81" s="13">
        <f t="shared" si="7"/>
        <v>0</v>
      </c>
      <c r="F81" s="13">
        <f t="shared" si="8"/>
        <v>237.45917805043203</v>
      </c>
    </row>
    <row r="82" spans="1:6">
      <c r="A82" s="12">
        <v>76</v>
      </c>
      <c r="B82" s="13">
        <f t="shared" si="9"/>
        <v>237.45917805043203</v>
      </c>
      <c r="C82" s="14">
        <f t="shared" si="5"/>
        <v>0.54417728303224011</v>
      </c>
      <c r="D82" s="13">
        <f t="shared" si="6"/>
        <v>238.00335533346427</v>
      </c>
      <c r="E82" s="13">
        <f t="shared" si="7"/>
        <v>0</v>
      </c>
      <c r="F82" s="13">
        <f t="shared" si="8"/>
        <v>238.00335533346427</v>
      </c>
    </row>
    <row r="83" spans="1:6">
      <c r="A83" s="12">
        <v>77</v>
      </c>
      <c r="B83" s="13">
        <f t="shared" si="9"/>
        <v>238.00335533346427</v>
      </c>
      <c r="C83" s="14">
        <f t="shared" si="5"/>
        <v>0.54542435597252226</v>
      </c>
      <c r="D83" s="13">
        <f t="shared" si="6"/>
        <v>238.5487796894368</v>
      </c>
      <c r="E83" s="13">
        <f t="shared" si="7"/>
        <v>0</v>
      </c>
      <c r="F83" s="13">
        <f t="shared" si="8"/>
        <v>238.5487796894368</v>
      </c>
    </row>
    <row r="84" spans="1:6">
      <c r="A84" s="12">
        <v>78</v>
      </c>
      <c r="B84" s="13">
        <f t="shared" si="9"/>
        <v>238.5487796894368</v>
      </c>
      <c r="C84" s="14">
        <f t="shared" si="5"/>
        <v>0.54667428678829266</v>
      </c>
      <c r="D84" s="13">
        <f t="shared" si="6"/>
        <v>239.09545397622509</v>
      </c>
      <c r="E84" s="13">
        <f t="shared" si="7"/>
        <v>0</v>
      </c>
      <c r="F84" s="13">
        <f t="shared" si="8"/>
        <v>239.09545397622509</v>
      </c>
    </row>
    <row r="85" spans="1:6">
      <c r="A85" s="12">
        <v>79</v>
      </c>
      <c r="B85" s="13">
        <f t="shared" si="9"/>
        <v>239.09545397622509</v>
      </c>
      <c r="C85" s="14">
        <f t="shared" si="5"/>
        <v>0.54792708202884921</v>
      </c>
      <c r="D85" s="13">
        <f t="shared" si="6"/>
        <v>239.64338105825394</v>
      </c>
      <c r="E85" s="13">
        <f t="shared" si="7"/>
        <v>0</v>
      </c>
      <c r="F85" s="13">
        <f t="shared" si="8"/>
        <v>239.64338105825394</v>
      </c>
    </row>
    <row r="86" spans="1:6">
      <c r="A86" s="12">
        <v>80</v>
      </c>
      <c r="B86" s="13">
        <f t="shared" si="9"/>
        <v>239.64338105825394</v>
      </c>
      <c r="C86" s="14">
        <f t="shared" si="5"/>
        <v>0.54918274825849855</v>
      </c>
      <c r="D86" s="13">
        <f t="shared" si="6"/>
        <v>240.19256380651242</v>
      </c>
      <c r="E86" s="13">
        <f t="shared" si="7"/>
        <v>0</v>
      </c>
      <c r="F86" s="13">
        <f t="shared" si="8"/>
        <v>240.19256380651242</v>
      </c>
    </row>
    <row r="87" spans="1:6">
      <c r="A87" s="12">
        <v>81</v>
      </c>
      <c r="B87" s="13">
        <f t="shared" si="9"/>
        <v>240.19256380651242</v>
      </c>
      <c r="C87" s="14">
        <f t="shared" si="5"/>
        <v>0.55044129205659109</v>
      </c>
      <c r="D87" s="13">
        <f t="shared" si="6"/>
        <v>240.74300509856903</v>
      </c>
      <c r="E87" s="13">
        <f t="shared" si="7"/>
        <v>0</v>
      </c>
      <c r="F87" s="13">
        <f t="shared" si="8"/>
        <v>240.74300509856903</v>
      </c>
    </row>
    <row r="88" spans="1:6">
      <c r="A88" s="12">
        <v>82</v>
      </c>
      <c r="B88" s="13">
        <f t="shared" si="9"/>
        <v>240.74300509856903</v>
      </c>
      <c r="C88" s="14">
        <f t="shared" si="5"/>
        <v>0.55170272001755405</v>
      </c>
      <c r="D88" s="13">
        <f t="shared" si="6"/>
        <v>241.29470781858657</v>
      </c>
      <c r="E88" s="13">
        <f t="shared" si="7"/>
        <v>0</v>
      </c>
      <c r="F88" s="13">
        <f t="shared" si="8"/>
        <v>241.29470781858657</v>
      </c>
    </row>
    <row r="89" spans="1:6">
      <c r="A89" s="12">
        <v>83</v>
      </c>
      <c r="B89" s="13">
        <f t="shared" si="9"/>
        <v>241.29470781858657</v>
      </c>
      <c r="C89" s="14">
        <f t="shared" si="5"/>
        <v>0.55296703875092756</v>
      </c>
      <c r="D89" s="13">
        <f t="shared" si="6"/>
        <v>241.84767485733749</v>
      </c>
      <c r="E89" s="13">
        <f t="shared" si="7"/>
        <v>0</v>
      </c>
      <c r="F89" s="13">
        <f t="shared" si="8"/>
        <v>241.84767485733749</v>
      </c>
    </row>
    <row r="90" spans="1:6">
      <c r="A90" s="15">
        <v>84</v>
      </c>
      <c r="B90" s="16">
        <f t="shared" si="9"/>
        <v>241.84767485733749</v>
      </c>
      <c r="C90" s="17">
        <f t="shared" si="5"/>
        <v>0.55423425488139832</v>
      </c>
      <c r="D90" s="16">
        <f t="shared" si="6"/>
        <v>242.4019091122189</v>
      </c>
      <c r="E90" s="16">
        <f t="shared" si="7"/>
        <v>0</v>
      </c>
      <c r="F90" s="16">
        <f t="shared" si="8"/>
        <v>242.4019091122189</v>
      </c>
    </row>
    <row r="91" spans="1:6">
      <c r="A91" s="12">
        <v>85</v>
      </c>
      <c r="B91" s="13">
        <f t="shared" si="9"/>
        <v>242.4019091122189</v>
      </c>
      <c r="C91" s="14">
        <f t="shared" si="5"/>
        <v>0.55550437504883499</v>
      </c>
      <c r="D91" s="13">
        <f t="shared" si="6"/>
        <v>242.95741348726773</v>
      </c>
      <c r="E91" s="13">
        <f t="shared" si="7"/>
        <v>0</v>
      </c>
      <c r="F91" s="13">
        <f t="shared" si="8"/>
        <v>242.95741348726773</v>
      </c>
    </row>
    <row r="92" spans="1:6">
      <c r="A92" s="12">
        <v>86</v>
      </c>
      <c r="B92" s="13">
        <f t="shared" si="9"/>
        <v>242.95741348726773</v>
      </c>
      <c r="C92" s="14">
        <f t="shared" si="5"/>
        <v>0.55677740590832192</v>
      </c>
      <c r="D92" s="13">
        <f t="shared" si="6"/>
        <v>243.51419089317605</v>
      </c>
      <c r="E92" s="13">
        <f t="shared" si="7"/>
        <v>0</v>
      </c>
      <c r="F92" s="13">
        <f t="shared" si="8"/>
        <v>243.51419089317605</v>
      </c>
    </row>
    <row r="93" spans="1:6">
      <c r="A93" s="12">
        <v>87</v>
      </c>
      <c r="B93" s="13">
        <f t="shared" si="9"/>
        <v>243.51419089317605</v>
      </c>
      <c r="C93" s="14">
        <f t="shared" si="5"/>
        <v>0.55805335413019508</v>
      </c>
      <c r="D93" s="13">
        <f t="shared" si="6"/>
        <v>244.07224424730626</v>
      </c>
      <c r="E93" s="13">
        <f t="shared" si="7"/>
        <v>0</v>
      </c>
      <c r="F93" s="13">
        <f t="shared" si="8"/>
        <v>244.07224424730626</v>
      </c>
    </row>
    <row r="94" spans="1:6">
      <c r="A94" s="12">
        <v>88</v>
      </c>
      <c r="B94" s="13">
        <f t="shared" si="9"/>
        <v>244.07224424730626</v>
      </c>
      <c r="C94" s="14">
        <f t="shared" si="5"/>
        <v>0.55933222640007685</v>
      </c>
      <c r="D94" s="13">
        <f t="shared" si="6"/>
        <v>244.63157647370633</v>
      </c>
      <c r="E94" s="13">
        <f t="shared" si="7"/>
        <v>0</v>
      </c>
      <c r="F94" s="13">
        <f t="shared" si="8"/>
        <v>244.63157647370633</v>
      </c>
    </row>
    <row r="95" spans="1:6">
      <c r="A95" s="12">
        <v>89</v>
      </c>
      <c r="B95" s="13">
        <f t="shared" si="9"/>
        <v>244.63157647370633</v>
      </c>
      <c r="C95" s="14">
        <f t="shared" si="5"/>
        <v>0.56061402941891036</v>
      </c>
      <c r="D95" s="13">
        <f t="shared" si="6"/>
        <v>245.19219050312523</v>
      </c>
      <c r="E95" s="13">
        <f t="shared" si="7"/>
        <v>0</v>
      </c>
      <c r="F95" s="13">
        <f t="shared" si="8"/>
        <v>245.19219050312523</v>
      </c>
    </row>
    <row r="96" spans="1:6">
      <c r="A96" s="12">
        <v>90</v>
      </c>
      <c r="B96" s="13">
        <f t="shared" si="9"/>
        <v>245.19219050312523</v>
      </c>
      <c r="C96" s="14">
        <f t="shared" si="5"/>
        <v>0.56189876990299537</v>
      </c>
      <c r="D96" s="13">
        <f t="shared" si="6"/>
        <v>245.75408927302823</v>
      </c>
      <c r="E96" s="13">
        <f t="shared" si="7"/>
        <v>0</v>
      </c>
      <c r="F96" s="13">
        <f t="shared" si="8"/>
        <v>245.75408927302823</v>
      </c>
    </row>
    <row r="97" spans="1:6">
      <c r="A97" s="12">
        <v>91</v>
      </c>
      <c r="B97" s="13">
        <f t="shared" si="9"/>
        <v>245.75408927302823</v>
      </c>
      <c r="C97" s="14">
        <f t="shared" si="5"/>
        <v>0.56318645458402306</v>
      </c>
      <c r="D97" s="13">
        <f t="shared" si="6"/>
        <v>246.31727572761224</v>
      </c>
      <c r="E97" s="13">
        <f t="shared" si="7"/>
        <v>0</v>
      </c>
      <c r="F97" s="13">
        <f t="shared" si="8"/>
        <v>246.31727572761224</v>
      </c>
    </row>
    <row r="98" spans="1:6">
      <c r="A98" s="12">
        <v>92</v>
      </c>
      <c r="B98" s="13">
        <f t="shared" si="9"/>
        <v>246.31727572761224</v>
      </c>
      <c r="C98" s="14">
        <f t="shared" si="5"/>
        <v>0.5644770902091113</v>
      </c>
      <c r="D98" s="13">
        <f t="shared" si="6"/>
        <v>246.88175281782136</v>
      </c>
      <c r="E98" s="13">
        <f t="shared" si="7"/>
        <v>0</v>
      </c>
      <c r="F98" s="13">
        <f t="shared" si="8"/>
        <v>246.88175281782136</v>
      </c>
    </row>
    <row r="99" spans="1:6">
      <c r="A99" s="12">
        <v>93</v>
      </c>
      <c r="B99" s="13">
        <f t="shared" si="9"/>
        <v>246.88175281782136</v>
      </c>
      <c r="C99" s="14">
        <f t="shared" si="5"/>
        <v>0.56577068354084059</v>
      </c>
      <c r="D99" s="13">
        <f t="shared" si="6"/>
        <v>247.44752350136221</v>
      </c>
      <c r="E99" s="13">
        <f t="shared" si="7"/>
        <v>0</v>
      </c>
      <c r="F99" s="13">
        <f t="shared" si="8"/>
        <v>247.44752350136221</v>
      </c>
    </row>
    <row r="100" spans="1:6">
      <c r="A100" s="12">
        <v>94</v>
      </c>
      <c r="B100" s="13">
        <f t="shared" si="9"/>
        <v>247.44752350136221</v>
      </c>
      <c r="C100" s="14">
        <f t="shared" si="5"/>
        <v>0.56706724135728848</v>
      </c>
      <c r="D100" s="13">
        <f t="shared" si="6"/>
        <v>248.01459074271949</v>
      </c>
      <c r="E100" s="13">
        <f t="shared" si="7"/>
        <v>0</v>
      </c>
      <c r="F100" s="13">
        <f t="shared" si="8"/>
        <v>248.01459074271949</v>
      </c>
    </row>
    <row r="101" spans="1:6">
      <c r="A101" s="12">
        <v>95</v>
      </c>
      <c r="B101" s="13">
        <f t="shared" si="9"/>
        <v>248.01459074271949</v>
      </c>
      <c r="C101" s="14">
        <f t="shared" si="5"/>
        <v>0.56836677045206552</v>
      </c>
      <c r="D101" s="13">
        <f t="shared" si="6"/>
        <v>248.58295751317155</v>
      </c>
      <c r="E101" s="13">
        <f t="shared" si="7"/>
        <v>0</v>
      </c>
      <c r="F101" s="13">
        <f t="shared" si="8"/>
        <v>248.58295751317155</v>
      </c>
    </row>
    <row r="102" spans="1:6">
      <c r="A102" s="12">
        <v>96</v>
      </c>
      <c r="B102" s="13">
        <f t="shared" si="9"/>
        <v>248.58295751317155</v>
      </c>
      <c r="C102" s="14">
        <f t="shared" si="5"/>
        <v>0.56966927763435149</v>
      </c>
      <c r="D102" s="13">
        <f t="shared" si="6"/>
        <v>249.1526267908059</v>
      </c>
      <c r="E102" s="13">
        <f t="shared" si="7"/>
        <v>0</v>
      </c>
      <c r="F102" s="13">
        <f t="shared" si="8"/>
        <v>249.1526267908059</v>
      </c>
    </row>
    <row r="103" spans="1:6">
      <c r="A103" s="12">
        <v>97</v>
      </c>
      <c r="B103" s="13">
        <f t="shared" si="9"/>
        <v>249.1526267908059</v>
      </c>
      <c r="C103" s="14">
        <f t="shared" si="5"/>
        <v>0.57097476972893024</v>
      </c>
      <c r="D103" s="13">
        <f t="shared" si="6"/>
        <v>249.72360156053483</v>
      </c>
      <c r="E103" s="13">
        <f t="shared" si="7"/>
        <v>0</v>
      </c>
      <c r="F103" s="13">
        <f t="shared" si="8"/>
        <v>249.72360156053483</v>
      </c>
    </row>
    <row r="104" spans="1:6">
      <c r="A104" s="12">
        <v>98</v>
      </c>
      <c r="B104" s="13">
        <f t="shared" si="9"/>
        <v>249.72360156053483</v>
      </c>
      <c r="C104" s="14">
        <f t="shared" si="5"/>
        <v>0.57228325357622556</v>
      </c>
      <c r="D104" s="13">
        <f t="shared" si="6"/>
        <v>250.29588481411105</v>
      </c>
      <c r="E104" s="13">
        <f t="shared" si="7"/>
        <v>0</v>
      </c>
      <c r="F104" s="13">
        <f t="shared" si="8"/>
        <v>250.29588481411105</v>
      </c>
    </row>
    <row r="105" spans="1:6">
      <c r="A105" s="12">
        <v>99</v>
      </c>
      <c r="B105" s="13">
        <f t="shared" si="9"/>
        <v>250.29588481411105</v>
      </c>
      <c r="C105" s="14">
        <f t="shared" si="5"/>
        <v>0.57359473603233779</v>
      </c>
      <c r="D105" s="13">
        <f t="shared" si="6"/>
        <v>250.86947955014338</v>
      </c>
      <c r="E105" s="13">
        <f t="shared" si="7"/>
        <v>0</v>
      </c>
      <c r="F105" s="13">
        <f t="shared" si="8"/>
        <v>250.86947955014338</v>
      </c>
    </row>
    <row r="106" spans="1:6">
      <c r="A106" s="12">
        <v>100</v>
      </c>
      <c r="B106" s="13">
        <f t="shared" si="9"/>
        <v>250.86947955014338</v>
      </c>
      <c r="C106" s="14">
        <f t="shared" si="5"/>
        <v>0.57490922396907862</v>
      </c>
      <c r="D106" s="13">
        <f t="shared" si="6"/>
        <v>251.44438877411247</v>
      </c>
      <c r="E106" s="13">
        <f t="shared" si="7"/>
        <v>0</v>
      </c>
      <c r="F106" s="13">
        <f t="shared" si="8"/>
        <v>251.44438877411247</v>
      </c>
    </row>
    <row r="107" spans="1:6">
      <c r="A107" s="12">
        <v>101</v>
      </c>
      <c r="B107" s="13">
        <f t="shared" si="9"/>
        <v>251.44438877411247</v>
      </c>
      <c r="C107" s="14">
        <f t="shared" si="5"/>
        <v>0.57622672427400778</v>
      </c>
      <c r="D107" s="13">
        <f t="shared" si="6"/>
        <v>252.02061549838646</v>
      </c>
      <c r="E107" s="13">
        <f t="shared" si="7"/>
        <v>0</v>
      </c>
      <c r="F107" s="13">
        <f t="shared" si="8"/>
        <v>252.02061549838646</v>
      </c>
    </row>
    <row r="108" spans="1:6">
      <c r="A108" s="12">
        <v>102</v>
      </c>
      <c r="B108" s="13">
        <f t="shared" si="9"/>
        <v>252.02061549838646</v>
      </c>
      <c r="C108" s="14">
        <f t="shared" si="5"/>
        <v>0.57754724385046896</v>
      </c>
      <c r="D108" s="13">
        <f t="shared" si="6"/>
        <v>252.59816274223692</v>
      </c>
      <c r="E108" s="13">
        <f t="shared" si="7"/>
        <v>0</v>
      </c>
      <c r="F108" s="13">
        <f t="shared" si="8"/>
        <v>252.59816274223692</v>
      </c>
    </row>
    <row r="109" spans="1:6">
      <c r="A109" s="12">
        <v>103</v>
      </c>
      <c r="B109" s="13">
        <f t="shared" si="9"/>
        <v>252.59816274223692</v>
      </c>
      <c r="C109" s="14">
        <f t="shared" si="5"/>
        <v>0.57887078961762639</v>
      </c>
      <c r="D109" s="13">
        <f t="shared" si="6"/>
        <v>253.17703353185456</v>
      </c>
      <c r="E109" s="13">
        <f t="shared" si="7"/>
        <v>0</v>
      </c>
      <c r="F109" s="13">
        <f t="shared" si="8"/>
        <v>253.17703353185456</v>
      </c>
    </row>
    <row r="110" spans="1:6">
      <c r="A110" s="12">
        <v>104</v>
      </c>
      <c r="B110" s="13">
        <f t="shared" si="9"/>
        <v>253.17703353185456</v>
      </c>
      <c r="C110" s="14">
        <f t="shared" si="5"/>
        <v>0.58019736851050008</v>
      </c>
      <c r="D110" s="13">
        <f t="shared" si="6"/>
        <v>253.75723090036507</v>
      </c>
      <c r="E110" s="13">
        <f t="shared" si="7"/>
        <v>0</v>
      </c>
      <c r="F110" s="13">
        <f t="shared" si="8"/>
        <v>253.75723090036507</v>
      </c>
    </row>
    <row r="111" spans="1:6">
      <c r="A111" s="12">
        <v>105</v>
      </c>
      <c r="B111" s="13">
        <f t="shared" si="9"/>
        <v>253.75723090036507</v>
      </c>
      <c r="C111" s="14">
        <f t="shared" si="5"/>
        <v>0.58152698748000331</v>
      </c>
      <c r="D111" s="13">
        <f t="shared" si="6"/>
        <v>254.33875788784508</v>
      </c>
      <c r="E111" s="13">
        <f t="shared" si="7"/>
        <v>0</v>
      </c>
      <c r="F111" s="13">
        <f t="shared" si="8"/>
        <v>254.33875788784508</v>
      </c>
    </row>
    <row r="112" spans="1:6">
      <c r="A112" s="12">
        <v>106</v>
      </c>
      <c r="B112" s="13">
        <f t="shared" si="9"/>
        <v>254.33875788784508</v>
      </c>
      <c r="C112" s="14">
        <f t="shared" si="5"/>
        <v>0.58285965349297841</v>
      </c>
      <c r="D112" s="13">
        <f t="shared" si="6"/>
        <v>254.92161754133807</v>
      </c>
      <c r="E112" s="13">
        <f t="shared" si="7"/>
        <v>0</v>
      </c>
      <c r="F112" s="13">
        <f t="shared" si="8"/>
        <v>254.92161754133807</v>
      </c>
    </row>
    <row r="113" spans="1:6">
      <c r="A113" s="12">
        <v>107</v>
      </c>
      <c r="B113" s="13">
        <f t="shared" si="9"/>
        <v>254.92161754133807</v>
      </c>
      <c r="C113" s="14">
        <f t="shared" si="5"/>
        <v>0.58419537353223305</v>
      </c>
      <c r="D113" s="13">
        <f t="shared" si="6"/>
        <v>255.50581291487029</v>
      </c>
      <c r="E113" s="13">
        <f t="shared" si="7"/>
        <v>0</v>
      </c>
      <c r="F113" s="13">
        <f t="shared" si="8"/>
        <v>255.50581291487029</v>
      </c>
    </row>
    <row r="114" spans="1:6">
      <c r="A114" s="12">
        <v>108</v>
      </c>
      <c r="B114" s="13">
        <f t="shared" si="9"/>
        <v>255.50581291487029</v>
      </c>
      <c r="C114" s="14">
        <f t="shared" si="5"/>
        <v>0.58553415459657776</v>
      </c>
      <c r="D114" s="13">
        <f t="shared" si="6"/>
        <v>256.09134706946685</v>
      </c>
      <c r="E114" s="13">
        <f t="shared" si="7"/>
        <v>0</v>
      </c>
      <c r="F114" s="13">
        <f t="shared" si="8"/>
        <v>256.09134706946685</v>
      </c>
    </row>
    <row r="115" spans="1:6">
      <c r="A115" s="12">
        <v>109</v>
      </c>
      <c r="B115" s="13">
        <f t="shared" si="9"/>
        <v>256.09134706946685</v>
      </c>
      <c r="C115" s="14">
        <f t="shared" si="5"/>
        <v>0.58687600370086157</v>
      </c>
      <c r="D115" s="13">
        <f t="shared" si="6"/>
        <v>256.67822307316771</v>
      </c>
      <c r="E115" s="13">
        <f t="shared" si="7"/>
        <v>0</v>
      </c>
      <c r="F115" s="13">
        <f t="shared" si="8"/>
        <v>256.67822307316771</v>
      </c>
    </row>
    <row r="116" spans="1:6">
      <c r="A116" s="12">
        <v>110</v>
      </c>
      <c r="B116" s="13">
        <f t="shared" si="9"/>
        <v>256.67822307316771</v>
      </c>
      <c r="C116" s="14">
        <f t="shared" si="5"/>
        <v>0.58822092787600933</v>
      </c>
      <c r="D116" s="13">
        <f t="shared" si="6"/>
        <v>257.26644400104374</v>
      </c>
      <c r="E116" s="13">
        <f t="shared" si="7"/>
        <v>0</v>
      </c>
      <c r="F116" s="13">
        <f t="shared" si="8"/>
        <v>257.26644400104374</v>
      </c>
    </row>
    <row r="117" spans="1:6">
      <c r="A117" s="12">
        <v>111</v>
      </c>
      <c r="B117" s="13">
        <f t="shared" si="9"/>
        <v>257.26644400104374</v>
      </c>
      <c r="C117" s="14">
        <f t="shared" si="5"/>
        <v>0.58956893416905853</v>
      </c>
      <c r="D117" s="13">
        <f t="shared" si="6"/>
        <v>257.85601293521279</v>
      </c>
      <c r="E117" s="13">
        <f t="shared" si="7"/>
        <v>0</v>
      </c>
      <c r="F117" s="13">
        <f t="shared" si="8"/>
        <v>257.85601293521279</v>
      </c>
    </row>
    <row r="118" spans="1:6">
      <c r="A118" s="12">
        <v>112</v>
      </c>
      <c r="B118" s="13">
        <f t="shared" si="9"/>
        <v>257.85601293521279</v>
      </c>
      <c r="C118" s="14">
        <f t="shared" si="5"/>
        <v>0.59092002964319601</v>
      </c>
      <c r="D118" s="13">
        <f t="shared" si="6"/>
        <v>258.44693296485599</v>
      </c>
      <c r="E118" s="13">
        <f t="shared" si="7"/>
        <v>0</v>
      </c>
      <c r="F118" s="13">
        <f t="shared" si="8"/>
        <v>258.44693296485599</v>
      </c>
    </row>
    <row r="119" spans="1:6">
      <c r="A119" s="12">
        <v>113</v>
      </c>
      <c r="B119" s="13">
        <f t="shared" si="9"/>
        <v>258.44693296485599</v>
      </c>
      <c r="C119" s="14">
        <f t="shared" si="5"/>
        <v>0.59227422137779495</v>
      </c>
      <c r="D119" s="13">
        <f t="shared" si="6"/>
        <v>259.0392071862338</v>
      </c>
      <c r="E119" s="13">
        <f t="shared" si="7"/>
        <v>0</v>
      </c>
      <c r="F119" s="13">
        <f t="shared" si="8"/>
        <v>259.0392071862338</v>
      </c>
    </row>
    <row r="120" spans="1:6">
      <c r="A120" s="12">
        <v>114</v>
      </c>
      <c r="B120" s="13">
        <f t="shared" si="9"/>
        <v>259.0392071862338</v>
      </c>
      <c r="C120" s="14">
        <f t="shared" si="5"/>
        <v>0.59363151646845247</v>
      </c>
      <c r="D120" s="13">
        <f t="shared" si="6"/>
        <v>259.63283870270226</v>
      </c>
      <c r="E120" s="13">
        <f t="shared" si="7"/>
        <v>0</v>
      </c>
      <c r="F120" s="13">
        <f t="shared" si="8"/>
        <v>259.63283870270226</v>
      </c>
    </row>
    <row r="121" spans="1:6">
      <c r="A121" s="12">
        <v>115</v>
      </c>
      <c r="B121" s="13">
        <f t="shared" si="9"/>
        <v>259.63283870270226</v>
      </c>
      <c r="C121" s="14">
        <f t="shared" si="5"/>
        <v>0.594991922027026</v>
      </c>
      <c r="D121" s="13">
        <f t="shared" si="6"/>
        <v>260.22783062472928</v>
      </c>
      <c r="E121" s="13">
        <f t="shared" si="7"/>
        <v>0</v>
      </c>
      <c r="F121" s="13">
        <f t="shared" si="8"/>
        <v>260.22783062472928</v>
      </c>
    </row>
    <row r="122" spans="1:6">
      <c r="A122" s="12">
        <v>116</v>
      </c>
      <c r="B122" s="13">
        <f t="shared" si="9"/>
        <v>260.22783062472928</v>
      </c>
      <c r="C122" s="14">
        <f t="shared" si="5"/>
        <v>0.59635544518167127</v>
      </c>
      <c r="D122" s="13">
        <f t="shared" si="6"/>
        <v>260.82418606991092</v>
      </c>
      <c r="E122" s="13">
        <f t="shared" si="7"/>
        <v>0</v>
      </c>
      <c r="F122" s="13">
        <f t="shared" si="8"/>
        <v>260.82418606991092</v>
      </c>
    </row>
    <row r="123" spans="1:6">
      <c r="A123" s="12">
        <v>117</v>
      </c>
      <c r="B123" s="13">
        <f t="shared" si="9"/>
        <v>260.82418606991092</v>
      </c>
      <c r="C123" s="14">
        <f t="shared" si="5"/>
        <v>0.59772209307687918</v>
      </c>
      <c r="D123" s="13">
        <f t="shared" si="6"/>
        <v>261.42190816298779</v>
      </c>
      <c r="E123" s="13">
        <f t="shared" si="7"/>
        <v>0</v>
      </c>
      <c r="F123" s="13">
        <f t="shared" si="8"/>
        <v>261.42190816298779</v>
      </c>
    </row>
    <row r="124" spans="1:6">
      <c r="A124" s="12">
        <v>118</v>
      </c>
      <c r="B124" s="13">
        <f t="shared" si="9"/>
        <v>261.42190816298779</v>
      </c>
      <c r="C124" s="14">
        <f t="shared" si="5"/>
        <v>0.59909187287351373</v>
      </c>
      <c r="D124" s="13">
        <f t="shared" si="6"/>
        <v>262.02100003586128</v>
      </c>
      <c r="E124" s="13">
        <f t="shared" si="7"/>
        <v>0</v>
      </c>
      <c r="F124" s="13">
        <f t="shared" si="8"/>
        <v>262.02100003586128</v>
      </c>
    </row>
    <row r="125" spans="1:6">
      <c r="A125" s="12">
        <v>119</v>
      </c>
      <c r="B125" s="13">
        <f t="shared" si="9"/>
        <v>262.02100003586128</v>
      </c>
      <c r="C125" s="14">
        <f t="shared" si="5"/>
        <v>0.60046479174884881</v>
      </c>
      <c r="D125" s="13">
        <f t="shared" si="6"/>
        <v>262.62146482761011</v>
      </c>
      <c r="E125" s="13">
        <f t="shared" si="7"/>
        <v>0</v>
      </c>
      <c r="F125" s="13">
        <f t="shared" si="8"/>
        <v>262.62146482761011</v>
      </c>
    </row>
    <row r="126" spans="1:6">
      <c r="A126" s="15">
        <v>120</v>
      </c>
      <c r="B126" s="16">
        <f t="shared" si="9"/>
        <v>262.62146482761011</v>
      </c>
      <c r="C126" s="17">
        <f t="shared" si="5"/>
        <v>0.60184085689660649</v>
      </c>
      <c r="D126" s="16">
        <f t="shared" si="6"/>
        <v>263.22330568450673</v>
      </c>
      <c r="E126" s="16">
        <f t="shared" si="7"/>
        <v>0</v>
      </c>
      <c r="F126" s="16">
        <f t="shared" si="8"/>
        <v>263.22330568450673</v>
      </c>
    </row>
    <row r="127" spans="1:6">
      <c r="A127" s="12">
        <v>121</v>
      </c>
      <c r="B127" s="13">
        <f t="shared" si="9"/>
        <v>263.22330568450673</v>
      </c>
      <c r="C127" s="14">
        <f t="shared" si="5"/>
        <v>0.60322007552699464</v>
      </c>
      <c r="D127" s="13">
        <f t="shared" si="6"/>
        <v>263.82652576003375</v>
      </c>
      <c r="E127" s="13">
        <f t="shared" si="7"/>
        <v>0</v>
      </c>
      <c r="F127" s="13">
        <f t="shared" si="8"/>
        <v>263.82652576003375</v>
      </c>
    </row>
    <row r="128" spans="1:6">
      <c r="A128" s="12">
        <v>122</v>
      </c>
      <c r="B128" s="13">
        <f t="shared" si="9"/>
        <v>263.82652576003375</v>
      </c>
      <c r="C128" s="14">
        <f t="shared" si="5"/>
        <v>0.60460245486674402</v>
      </c>
      <c r="D128" s="13">
        <f t="shared" si="6"/>
        <v>264.43112821490047</v>
      </c>
      <c r="E128" s="13">
        <f t="shared" si="7"/>
        <v>0</v>
      </c>
      <c r="F128" s="13">
        <f t="shared" si="8"/>
        <v>264.43112821490047</v>
      </c>
    </row>
    <row r="129" spans="1:6">
      <c r="A129" s="12">
        <v>123</v>
      </c>
      <c r="B129" s="13">
        <f t="shared" si="9"/>
        <v>264.43112821490047</v>
      </c>
      <c r="C129" s="14">
        <f t="shared" si="5"/>
        <v>0.60598800215914694</v>
      </c>
      <c r="D129" s="13">
        <f t="shared" si="6"/>
        <v>265.03711621705963</v>
      </c>
      <c r="E129" s="13">
        <f t="shared" si="7"/>
        <v>0</v>
      </c>
      <c r="F129" s="13">
        <f t="shared" si="8"/>
        <v>265.03711621705963</v>
      </c>
    </row>
    <row r="130" spans="1:6">
      <c r="A130" s="12">
        <v>124</v>
      </c>
      <c r="B130" s="13">
        <f t="shared" si="9"/>
        <v>265.03711621705963</v>
      </c>
      <c r="C130" s="14">
        <f t="shared" si="5"/>
        <v>0.60737672466409498</v>
      </c>
      <c r="D130" s="13">
        <f t="shared" si="6"/>
        <v>265.64449294172374</v>
      </c>
      <c r="E130" s="13">
        <f t="shared" si="7"/>
        <v>0</v>
      </c>
      <c r="F130" s="13">
        <f t="shared" si="8"/>
        <v>265.64449294172374</v>
      </c>
    </row>
    <row r="131" spans="1:6">
      <c r="A131" s="12">
        <v>125</v>
      </c>
      <c r="B131" s="13">
        <f t="shared" si="9"/>
        <v>265.64449294172374</v>
      </c>
      <c r="C131" s="14">
        <f t="shared" si="5"/>
        <v>0.60876862965811696</v>
      </c>
      <c r="D131" s="13">
        <f t="shared" si="6"/>
        <v>266.25326157138187</v>
      </c>
      <c r="E131" s="13">
        <f t="shared" si="7"/>
        <v>0</v>
      </c>
      <c r="F131" s="13">
        <f t="shared" si="8"/>
        <v>266.25326157138187</v>
      </c>
    </row>
    <row r="132" spans="1:6">
      <c r="A132" s="12">
        <v>126</v>
      </c>
      <c r="B132" s="13">
        <f t="shared" si="9"/>
        <v>266.25326157138187</v>
      </c>
      <c r="C132" s="14">
        <f t="shared" si="5"/>
        <v>0.6101637244344168</v>
      </c>
      <c r="D132" s="13">
        <f t="shared" si="6"/>
        <v>266.86342529581628</v>
      </c>
      <c r="E132" s="13">
        <f t="shared" si="7"/>
        <v>0</v>
      </c>
      <c r="F132" s="13">
        <f t="shared" si="8"/>
        <v>266.86342529581628</v>
      </c>
    </row>
    <row r="133" spans="1:6">
      <c r="A133" s="12">
        <v>127</v>
      </c>
      <c r="B133" s="13">
        <f t="shared" si="9"/>
        <v>266.86342529581628</v>
      </c>
      <c r="C133" s="14">
        <f t="shared" si="5"/>
        <v>0.61156201630291229</v>
      </c>
      <c r="D133" s="13">
        <f t="shared" si="6"/>
        <v>267.4749873121192</v>
      </c>
      <c r="E133" s="13">
        <f t="shared" si="7"/>
        <v>0</v>
      </c>
      <c r="F133" s="13">
        <f t="shared" si="8"/>
        <v>267.4749873121192</v>
      </c>
    </row>
    <row r="134" spans="1:6">
      <c r="A134" s="12">
        <v>128</v>
      </c>
      <c r="B134" s="13">
        <f t="shared" si="9"/>
        <v>267.4749873121192</v>
      </c>
      <c r="C134" s="14">
        <f t="shared" si="5"/>
        <v>0.61296351259027315</v>
      </c>
      <c r="D134" s="13">
        <f t="shared" si="6"/>
        <v>268.08795082470948</v>
      </c>
      <c r="E134" s="13">
        <f t="shared" si="7"/>
        <v>0</v>
      </c>
      <c r="F134" s="13">
        <f t="shared" si="8"/>
        <v>268.08795082470948</v>
      </c>
    </row>
    <row r="135" spans="1:6">
      <c r="A135" s="12">
        <v>129</v>
      </c>
      <c r="B135" s="13">
        <f t="shared" si="9"/>
        <v>268.08795082470948</v>
      </c>
      <c r="C135" s="14">
        <f t="shared" ref="C135:C198" si="10">-IPMT($C$3/12,1,$C$4*12,B135)</f>
        <v>0.61436822063995922</v>
      </c>
      <c r="D135" s="13">
        <f t="shared" ref="D135:D198" si="11">SUM(B135:C135)</f>
        <v>268.70231904534944</v>
      </c>
      <c r="E135" s="13">
        <f t="shared" ref="E135:E198" si="12">C135-(C135*$C$5)</f>
        <v>0</v>
      </c>
      <c r="F135" s="13">
        <f t="shared" ref="F135:F198" si="13">D135-E135</f>
        <v>268.70231904534944</v>
      </c>
    </row>
    <row r="136" spans="1:6">
      <c r="A136" s="12">
        <v>130</v>
      </c>
      <c r="B136" s="13">
        <f t="shared" ref="B136:B199" si="14">F135</f>
        <v>268.70231904534944</v>
      </c>
      <c r="C136" s="14">
        <f t="shared" si="10"/>
        <v>0.61577614781225909</v>
      </c>
      <c r="D136" s="13">
        <f t="shared" si="11"/>
        <v>269.3180951931617</v>
      </c>
      <c r="E136" s="13">
        <f t="shared" si="12"/>
        <v>0</v>
      </c>
      <c r="F136" s="13">
        <f t="shared" si="13"/>
        <v>269.3180951931617</v>
      </c>
    </row>
    <row r="137" spans="1:6">
      <c r="A137" s="12">
        <v>131</v>
      </c>
      <c r="B137" s="13">
        <f t="shared" si="14"/>
        <v>269.3180951931617</v>
      </c>
      <c r="C137" s="14">
        <f t="shared" si="10"/>
        <v>0.61718730148432888</v>
      </c>
      <c r="D137" s="13">
        <f t="shared" si="11"/>
        <v>269.935282494646</v>
      </c>
      <c r="E137" s="13">
        <f t="shared" si="12"/>
        <v>0</v>
      </c>
      <c r="F137" s="13">
        <f t="shared" si="13"/>
        <v>269.935282494646</v>
      </c>
    </row>
    <row r="138" spans="1:6">
      <c r="A138" s="12">
        <v>132</v>
      </c>
      <c r="B138" s="13">
        <f t="shared" si="14"/>
        <v>269.935282494646</v>
      </c>
      <c r="C138" s="14">
        <f t="shared" si="10"/>
        <v>0.61860168905023039</v>
      </c>
      <c r="D138" s="13">
        <f t="shared" si="11"/>
        <v>270.55388418369625</v>
      </c>
      <c r="E138" s="13">
        <f t="shared" si="12"/>
        <v>0</v>
      </c>
      <c r="F138" s="13">
        <f t="shared" si="13"/>
        <v>270.55388418369625</v>
      </c>
    </row>
    <row r="139" spans="1:6">
      <c r="A139" s="12">
        <v>133</v>
      </c>
      <c r="B139" s="13">
        <f t="shared" si="14"/>
        <v>270.55388418369625</v>
      </c>
      <c r="C139" s="14">
        <f t="shared" si="10"/>
        <v>0.62001931792097054</v>
      </c>
      <c r="D139" s="13">
        <f t="shared" si="11"/>
        <v>271.17390350161725</v>
      </c>
      <c r="E139" s="13">
        <f t="shared" si="12"/>
        <v>0</v>
      </c>
      <c r="F139" s="13">
        <f t="shared" si="13"/>
        <v>271.17390350161725</v>
      </c>
    </row>
    <row r="140" spans="1:6">
      <c r="A140" s="12">
        <v>134</v>
      </c>
      <c r="B140" s="13">
        <f t="shared" si="14"/>
        <v>271.17390350161725</v>
      </c>
      <c r="C140" s="14">
        <f t="shared" si="10"/>
        <v>0.62144019552453955</v>
      </c>
      <c r="D140" s="13">
        <f t="shared" si="11"/>
        <v>271.79534369714179</v>
      </c>
      <c r="E140" s="13">
        <f t="shared" si="12"/>
        <v>0</v>
      </c>
      <c r="F140" s="13">
        <f t="shared" si="13"/>
        <v>271.79534369714179</v>
      </c>
    </row>
    <row r="141" spans="1:6">
      <c r="A141" s="12">
        <v>135</v>
      </c>
      <c r="B141" s="13">
        <f t="shared" si="14"/>
        <v>271.79534369714179</v>
      </c>
      <c r="C141" s="14">
        <f t="shared" si="10"/>
        <v>0.62286432930594993</v>
      </c>
      <c r="D141" s="13">
        <f t="shared" si="11"/>
        <v>272.41820802644776</v>
      </c>
      <c r="E141" s="13">
        <f t="shared" si="12"/>
        <v>0</v>
      </c>
      <c r="F141" s="13">
        <f t="shared" si="13"/>
        <v>272.41820802644776</v>
      </c>
    </row>
    <row r="142" spans="1:6">
      <c r="A142" s="12">
        <v>136</v>
      </c>
      <c r="B142" s="13">
        <f t="shared" si="14"/>
        <v>272.41820802644776</v>
      </c>
      <c r="C142" s="14">
        <f t="shared" si="10"/>
        <v>0.62429172672727606</v>
      </c>
      <c r="D142" s="13">
        <f t="shared" si="11"/>
        <v>273.04249975317504</v>
      </c>
      <c r="E142" s="13">
        <f t="shared" si="12"/>
        <v>0</v>
      </c>
      <c r="F142" s="13">
        <f t="shared" si="13"/>
        <v>273.04249975317504</v>
      </c>
    </row>
    <row r="143" spans="1:6">
      <c r="A143" s="12">
        <v>137</v>
      </c>
      <c r="B143" s="13">
        <f t="shared" si="14"/>
        <v>273.04249975317504</v>
      </c>
      <c r="C143" s="14">
        <f t="shared" si="10"/>
        <v>0.6257223952676928</v>
      </c>
      <c r="D143" s="13">
        <f t="shared" si="11"/>
        <v>273.66822214844274</v>
      </c>
      <c r="E143" s="13">
        <f t="shared" si="12"/>
        <v>0</v>
      </c>
      <c r="F143" s="13">
        <f t="shared" si="13"/>
        <v>273.66822214844274</v>
      </c>
    </row>
    <row r="144" spans="1:6">
      <c r="A144" s="12">
        <v>138</v>
      </c>
      <c r="B144" s="13">
        <f t="shared" si="14"/>
        <v>273.66822214844274</v>
      </c>
      <c r="C144" s="14">
        <f t="shared" si="10"/>
        <v>0.62715634242351459</v>
      </c>
      <c r="D144" s="13">
        <f t="shared" si="11"/>
        <v>274.29537849086626</v>
      </c>
      <c r="E144" s="13">
        <f t="shared" si="12"/>
        <v>0</v>
      </c>
      <c r="F144" s="13">
        <f t="shared" si="13"/>
        <v>274.29537849086626</v>
      </c>
    </row>
    <row r="145" spans="1:6">
      <c r="A145" s="12">
        <v>139</v>
      </c>
      <c r="B145" s="13">
        <f t="shared" si="14"/>
        <v>274.29537849086626</v>
      </c>
      <c r="C145" s="14">
        <f t="shared" si="10"/>
        <v>0.62859357570823515</v>
      </c>
      <c r="D145" s="13">
        <f t="shared" si="11"/>
        <v>274.92397206657449</v>
      </c>
      <c r="E145" s="13">
        <f t="shared" si="12"/>
        <v>0</v>
      </c>
      <c r="F145" s="13">
        <f t="shared" si="13"/>
        <v>274.92397206657449</v>
      </c>
    </row>
    <row r="146" spans="1:6">
      <c r="A146" s="12">
        <v>140</v>
      </c>
      <c r="B146" s="13">
        <f t="shared" si="14"/>
        <v>274.92397206657449</v>
      </c>
      <c r="C146" s="14">
        <f t="shared" si="10"/>
        <v>0.63003410265256654</v>
      </c>
      <c r="D146" s="13">
        <f t="shared" si="11"/>
        <v>275.55400616922708</v>
      </c>
      <c r="E146" s="13">
        <f t="shared" si="12"/>
        <v>0</v>
      </c>
      <c r="F146" s="13">
        <f t="shared" si="13"/>
        <v>275.55400616922708</v>
      </c>
    </row>
    <row r="147" spans="1:6">
      <c r="A147" s="12">
        <v>141</v>
      </c>
      <c r="B147" s="13">
        <f t="shared" si="14"/>
        <v>275.55400616922708</v>
      </c>
      <c r="C147" s="14">
        <f t="shared" si="10"/>
        <v>0.63147793080447878</v>
      </c>
      <c r="D147" s="13">
        <f t="shared" si="11"/>
        <v>276.18548410003154</v>
      </c>
      <c r="E147" s="13">
        <f t="shared" si="12"/>
        <v>0</v>
      </c>
      <c r="F147" s="13">
        <f t="shared" si="13"/>
        <v>276.18548410003154</v>
      </c>
    </row>
    <row r="148" spans="1:6">
      <c r="A148" s="12">
        <v>142</v>
      </c>
      <c r="B148" s="13">
        <f t="shared" si="14"/>
        <v>276.18548410003154</v>
      </c>
      <c r="C148" s="14">
        <f t="shared" si="10"/>
        <v>0.63292506772923895</v>
      </c>
      <c r="D148" s="13">
        <f t="shared" si="11"/>
        <v>276.81840916776076</v>
      </c>
      <c r="E148" s="13">
        <f t="shared" si="12"/>
        <v>0</v>
      </c>
      <c r="F148" s="13">
        <f t="shared" si="13"/>
        <v>276.81840916776076</v>
      </c>
    </row>
    <row r="149" spans="1:6">
      <c r="A149" s="12">
        <v>143</v>
      </c>
      <c r="B149" s="13">
        <f t="shared" si="14"/>
        <v>276.81840916776076</v>
      </c>
      <c r="C149" s="14">
        <f t="shared" si="10"/>
        <v>0.63437552100945171</v>
      </c>
      <c r="D149" s="13">
        <f t="shared" si="11"/>
        <v>277.45278468877024</v>
      </c>
      <c r="E149" s="13">
        <f t="shared" si="12"/>
        <v>0</v>
      </c>
      <c r="F149" s="13">
        <f t="shared" si="13"/>
        <v>277.45278468877024</v>
      </c>
    </row>
    <row r="150" spans="1:6">
      <c r="A150" s="12">
        <v>144</v>
      </c>
      <c r="B150" s="13">
        <f t="shared" si="14"/>
        <v>277.45278468877024</v>
      </c>
      <c r="C150" s="14">
        <f t="shared" si="10"/>
        <v>0.63582929824509848</v>
      </c>
      <c r="D150" s="13">
        <f t="shared" si="11"/>
        <v>278.08861398701532</v>
      </c>
      <c r="E150" s="13">
        <f t="shared" si="12"/>
        <v>0</v>
      </c>
      <c r="F150" s="13">
        <f t="shared" si="13"/>
        <v>278.08861398701532</v>
      </c>
    </row>
    <row r="151" spans="1:6">
      <c r="A151" s="12">
        <v>145</v>
      </c>
      <c r="B151" s="13">
        <f t="shared" si="14"/>
        <v>278.08861398701532</v>
      </c>
      <c r="C151" s="14">
        <f t="shared" si="10"/>
        <v>0.63728640705357675</v>
      </c>
      <c r="D151" s="13">
        <f t="shared" si="11"/>
        <v>278.7259003940689</v>
      </c>
      <c r="E151" s="13">
        <f t="shared" si="12"/>
        <v>0</v>
      </c>
      <c r="F151" s="13">
        <f t="shared" si="13"/>
        <v>278.7259003940689</v>
      </c>
    </row>
    <row r="152" spans="1:6">
      <c r="A152" s="12">
        <v>146</v>
      </c>
      <c r="B152" s="13">
        <f t="shared" si="14"/>
        <v>278.7259003940689</v>
      </c>
      <c r="C152" s="14">
        <f t="shared" si="10"/>
        <v>0.63874685506974127</v>
      </c>
      <c r="D152" s="13">
        <f t="shared" si="11"/>
        <v>279.36464724913867</v>
      </c>
      <c r="E152" s="13">
        <f t="shared" si="12"/>
        <v>0</v>
      </c>
      <c r="F152" s="13">
        <f t="shared" si="13"/>
        <v>279.36464724913867</v>
      </c>
    </row>
    <row r="153" spans="1:6">
      <c r="A153" s="12">
        <v>147</v>
      </c>
      <c r="B153" s="13">
        <f t="shared" si="14"/>
        <v>279.36464724913867</v>
      </c>
      <c r="C153" s="14">
        <f t="shared" si="10"/>
        <v>0.64021064994594279</v>
      </c>
      <c r="D153" s="13">
        <f t="shared" si="11"/>
        <v>280.00485789908464</v>
      </c>
      <c r="E153" s="13">
        <f t="shared" si="12"/>
        <v>0</v>
      </c>
      <c r="F153" s="13">
        <f t="shared" si="13"/>
        <v>280.00485789908464</v>
      </c>
    </row>
    <row r="154" spans="1:6">
      <c r="A154" s="12">
        <v>148</v>
      </c>
      <c r="B154" s="13">
        <f t="shared" si="14"/>
        <v>280.00485789908464</v>
      </c>
      <c r="C154" s="14">
        <f t="shared" si="10"/>
        <v>0.64167779935206892</v>
      </c>
      <c r="D154" s="13">
        <f t="shared" si="11"/>
        <v>280.64653569843671</v>
      </c>
      <c r="E154" s="13">
        <f t="shared" si="12"/>
        <v>0</v>
      </c>
      <c r="F154" s="13">
        <f t="shared" si="13"/>
        <v>280.64653569843671</v>
      </c>
    </row>
    <row r="155" spans="1:6">
      <c r="A155" s="12">
        <v>149</v>
      </c>
      <c r="B155" s="13">
        <f t="shared" si="14"/>
        <v>280.64653569843671</v>
      </c>
      <c r="C155" s="14">
        <f t="shared" si="10"/>
        <v>0.64314831097558411</v>
      </c>
      <c r="D155" s="13">
        <f t="shared" si="11"/>
        <v>281.28968400941227</v>
      </c>
      <c r="E155" s="13">
        <f t="shared" si="12"/>
        <v>0</v>
      </c>
      <c r="F155" s="13">
        <f t="shared" si="13"/>
        <v>281.28968400941227</v>
      </c>
    </row>
    <row r="156" spans="1:6">
      <c r="A156" s="12">
        <v>150</v>
      </c>
      <c r="B156" s="13">
        <f t="shared" si="14"/>
        <v>281.28968400941227</v>
      </c>
      <c r="C156" s="14">
        <f t="shared" si="10"/>
        <v>0.64462219252156983</v>
      </c>
      <c r="D156" s="13">
        <f t="shared" si="11"/>
        <v>281.93430620193385</v>
      </c>
      <c r="E156" s="13">
        <f t="shared" si="12"/>
        <v>0</v>
      </c>
      <c r="F156" s="13">
        <f t="shared" si="13"/>
        <v>281.93430620193385</v>
      </c>
    </row>
    <row r="157" spans="1:6">
      <c r="A157" s="12">
        <v>151</v>
      </c>
      <c r="B157" s="13">
        <f t="shared" si="14"/>
        <v>281.93430620193385</v>
      </c>
      <c r="C157" s="14">
        <f t="shared" si="10"/>
        <v>0.64609945171276506</v>
      </c>
      <c r="D157" s="13">
        <f t="shared" si="11"/>
        <v>282.58040565364661</v>
      </c>
      <c r="E157" s="13">
        <f t="shared" si="12"/>
        <v>0</v>
      </c>
      <c r="F157" s="13">
        <f t="shared" si="13"/>
        <v>282.58040565364661</v>
      </c>
    </row>
    <row r="158" spans="1:6">
      <c r="A158" s="12">
        <v>152</v>
      </c>
      <c r="B158" s="13">
        <f t="shared" si="14"/>
        <v>282.58040565364661</v>
      </c>
      <c r="C158" s="14">
        <f t="shared" si="10"/>
        <v>0.64758009628960678</v>
      </c>
      <c r="D158" s="13">
        <f t="shared" si="11"/>
        <v>283.22798574993624</v>
      </c>
      <c r="E158" s="13">
        <f t="shared" si="12"/>
        <v>0</v>
      </c>
      <c r="F158" s="13">
        <f t="shared" si="13"/>
        <v>283.22798574993624</v>
      </c>
    </row>
    <row r="159" spans="1:6">
      <c r="A159" s="12">
        <v>153</v>
      </c>
      <c r="B159" s="13">
        <f t="shared" si="14"/>
        <v>283.22798574993624</v>
      </c>
      <c r="C159" s="14">
        <f t="shared" si="10"/>
        <v>0.64906413401027052</v>
      </c>
      <c r="D159" s="13">
        <f t="shared" si="11"/>
        <v>283.87704988394648</v>
      </c>
      <c r="E159" s="13">
        <f t="shared" si="12"/>
        <v>0</v>
      </c>
      <c r="F159" s="13">
        <f t="shared" si="13"/>
        <v>283.87704988394648</v>
      </c>
    </row>
    <row r="160" spans="1:6">
      <c r="A160" s="12">
        <v>154</v>
      </c>
      <c r="B160" s="13">
        <f t="shared" si="14"/>
        <v>283.87704988394648</v>
      </c>
      <c r="C160" s="14">
        <f t="shared" si="10"/>
        <v>0.65055157265071073</v>
      </c>
      <c r="D160" s="13">
        <f t="shared" si="11"/>
        <v>284.52760145659721</v>
      </c>
      <c r="E160" s="13">
        <f t="shared" si="12"/>
        <v>0</v>
      </c>
      <c r="F160" s="13">
        <f t="shared" si="13"/>
        <v>284.52760145659721</v>
      </c>
    </row>
    <row r="161" spans="1:6">
      <c r="A161" s="12">
        <v>155</v>
      </c>
      <c r="B161" s="13">
        <f t="shared" si="14"/>
        <v>284.52760145659721</v>
      </c>
      <c r="C161" s="14">
        <f t="shared" si="10"/>
        <v>0.65204242000470192</v>
      </c>
      <c r="D161" s="13">
        <f t="shared" si="11"/>
        <v>285.17964387660192</v>
      </c>
      <c r="E161" s="13">
        <f t="shared" si="12"/>
        <v>0</v>
      </c>
      <c r="F161" s="13">
        <f t="shared" si="13"/>
        <v>285.17964387660192</v>
      </c>
    </row>
    <row r="162" spans="1:6">
      <c r="A162" s="12">
        <v>156</v>
      </c>
      <c r="B162" s="13">
        <f t="shared" si="14"/>
        <v>285.17964387660192</v>
      </c>
      <c r="C162" s="14">
        <f t="shared" si="10"/>
        <v>0.65353668388387942</v>
      </c>
      <c r="D162" s="13">
        <f t="shared" si="11"/>
        <v>285.8331805604858</v>
      </c>
      <c r="E162" s="13">
        <f t="shared" si="12"/>
        <v>0</v>
      </c>
      <c r="F162" s="13">
        <f t="shared" si="13"/>
        <v>285.8331805604858</v>
      </c>
    </row>
    <row r="163" spans="1:6">
      <c r="A163" s="12">
        <v>157</v>
      </c>
      <c r="B163" s="13">
        <f t="shared" si="14"/>
        <v>285.8331805604858</v>
      </c>
      <c r="C163" s="14">
        <f t="shared" si="10"/>
        <v>0.65503437211777993</v>
      </c>
      <c r="D163" s="13">
        <f t="shared" si="11"/>
        <v>286.48821493260357</v>
      </c>
      <c r="E163" s="13">
        <f t="shared" si="12"/>
        <v>0</v>
      </c>
      <c r="F163" s="13">
        <f t="shared" si="13"/>
        <v>286.48821493260357</v>
      </c>
    </row>
    <row r="164" spans="1:6">
      <c r="A164" s="12">
        <v>158</v>
      </c>
      <c r="B164" s="13">
        <f t="shared" si="14"/>
        <v>286.48821493260357</v>
      </c>
      <c r="C164" s="14">
        <f t="shared" si="10"/>
        <v>0.65653549255388322</v>
      </c>
      <c r="D164" s="13">
        <f t="shared" si="11"/>
        <v>287.14475042515744</v>
      </c>
      <c r="E164" s="13">
        <f t="shared" si="12"/>
        <v>0</v>
      </c>
      <c r="F164" s="13">
        <f t="shared" si="13"/>
        <v>287.14475042515744</v>
      </c>
    </row>
    <row r="165" spans="1:6">
      <c r="A165" s="12">
        <v>159</v>
      </c>
      <c r="B165" s="13">
        <f t="shared" si="14"/>
        <v>287.14475042515744</v>
      </c>
      <c r="C165" s="14">
        <f t="shared" si="10"/>
        <v>0.65804005305765245</v>
      </c>
      <c r="D165" s="13">
        <f t="shared" si="11"/>
        <v>287.80279047821512</v>
      </c>
      <c r="E165" s="13">
        <f t="shared" si="12"/>
        <v>0</v>
      </c>
      <c r="F165" s="13">
        <f t="shared" si="13"/>
        <v>287.80279047821512</v>
      </c>
    </row>
    <row r="166" spans="1:6">
      <c r="A166" s="12">
        <v>160</v>
      </c>
      <c r="B166" s="13">
        <f t="shared" si="14"/>
        <v>287.80279047821512</v>
      </c>
      <c r="C166" s="14">
        <f t="shared" si="10"/>
        <v>0.65954806151257628</v>
      </c>
      <c r="D166" s="13">
        <f t="shared" si="11"/>
        <v>288.46233853972768</v>
      </c>
      <c r="E166" s="13">
        <f t="shared" si="12"/>
        <v>0</v>
      </c>
      <c r="F166" s="13">
        <f t="shared" si="13"/>
        <v>288.46233853972768</v>
      </c>
    </row>
    <row r="167" spans="1:6">
      <c r="A167" s="12">
        <v>161</v>
      </c>
      <c r="B167" s="13">
        <f t="shared" si="14"/>
        <v>288.46233853972768</v>
      </c>
      <c r="C167" s="14">
        <f t="shared" si="10"/>
        <v>0.66105952582020933</v>
      </c>
      <c r="D167" s="13">
        <f t="shared" si="11"/>
        <v>289.12339806554792</v>
      </c>
      <c r="E167" s="13">
        <f t="shared" si="12"/>
        <v>0</v>
      </c>
      <c r="F167" s="13">
        <f t="shared" si="13"/>
        <v>289.12339806554792</v>
      </c>
    </row>
    <row r="168" spans="1:6">
      <c r="A168" s="12">
        <v>162</v>
      </c>
      <c r="B168" s="13">
        <f t="shared" si="14"/>
        <v>289.12339806554792</v>
      </c>
      <c r="C168" s="14">
        <f t="shared" si="10"/>
        <v>0.66257445390021397</v>
      </c>
      <c r="D168" s="13">
        <f t="shared" si="11"/>
        <v>289.78597251944814</v>
      </c>
      <c r="E168" s="13">
        <f t="shared" si="12"/>
        <v>0</v>
      </c>
      <c r="F168" s="13">
        <f t="shared" si="13"/>
        <v>289.78597251944814</v>
      </c>
    </row>
    <row r="169" spans="1:6">
      <c r="A169" s="12">
        <v>163</v>
      </c>
      <c r="B169" s="13">
        <f t="shared" si="14"/>
        <v>289.78597251944814</v>
      </c>
      <c r="C169" s="14">
        <f t="shared" si="10"/>
        <v>0.66409285369040194</v>
      </c>
      <c r="D169" s="13">
        <f t="shared" si="11"/>
        <v>290.45006537313856</v>
      </c>
      <c r="E169" s="13">
        <f t="shared" si="12"/>
        <v>0</v>
      </c>
      <c r="F169" s="13">
        <f t="shared" si="13"/>
        <v>290.45006537313856</v>
      </c>
    </row>
    <row r="170" spans="1:6">
      <c r="A170" s="12">
        <v>164</v>
      </c>
      <c r="B170" s="13">
        <f t="shared" si="14"/>
        <v>290.45006537313856</v>
      </c>
      <c r="C170" s="14">
        <f t="shared" si="10"/>
        <v>0.66561473314677588</v>
      </c>
      <c r="D170" s="13">
        <f t="shared" si="11"/>
        <v>291.11568010628531</v>
      </c>
      <c r="E170" s="13">
        <f t="shared" si="12"/>
        <v>0</v>
      </c>
      <c r="F170" s="13">
        <f t="shared" si="13"/>
        <v>291.11568010628531</v>
      </c>
    </row>
    <row r="171" spans="1:6">
      <c r="A171" s="12">
        <v>165</v>
      </c>
      <c r="B171" s="13">
        <f t="shared" si="14"/>
        <v>291.11568010628531</v>
      </c>
      <c r="C171" s="14">
        <f t="shared" si="10"/>
        <v>0.66714010024357051</v>
      </c>
      <c r="D171" s="13">
        <f t="shared" si="11"/>
        <v>291.78282020652887</v>
      </c>
      <c r="E171" s="13">
        <f t="shared" si="12"/>
        <v>0</v>
      </c>
      <c r="F171" s="13">
        <f t="shared" si="13"/>
        <v>291.78282020652887</v>
      </c>
    </row>
    <row r="172" spans="1:6">
      <c r="A172" s="12">
        <v>166</v>
      </c>
      <c r="B172" s="13">
        <f t="shared" si="14"/>
        <v>291.78282020652887</v>
      </c>
      <c r="C172" s="14">
        <f t="shared" si="10"/>
        <v>0.66866896297329537</v>
      </c>
      <c r="D172" s="13">
        <f t="shared" si="11"/>
        <v>292.45148916950217</v>
      </c>
      <c r="E172" s="13">
        <f t="shared" si="12"/>
        <v>0</v>
      </c>
      <c r="F172" s="13">
        <f t="shared" si="13"/>
        <v>292.45148916950217</v>
      </c>
    </row>
    <row r="173" spans="1:6">
      <c r="A173" s="12">
        <v>167</v>
      </c>
      <c r="B173" s="13">
        <f t="shared" si="14"/>
        <v>292.45148916950217</v>
      </c>
      <c r="C173" s="14">
        <f t="shared" si="10"/>
        <v>0.67020132934677579</v>
      </c>
      <c r="D173" s="13">
        <f t="shared" si="11"/>
        <v>293.12169049884892</v>
      </c>
      <c r="E173" s="13">
        <f t="shared" si="12"/>
        <v>0</v>
      </c>
      <c r="F173" s="13">
        <f t="shared" si="13"/>
        <v>293.12169049884892</v>
      </c>
    </row>
    <row r="174" spans="1:6">
      <c r="A174" s="15">
        <v>168</v>
      </c>
      <c r="B174" s="16">
        <f t="shared" si="14"/>
        <v>293.12169049884892</v>
      </c>
      <c r="C174" s="17">
        <f t="shared" si="10"/>
        <v>0.67173720739319542</v>
      </c>
      <c r="D174" s="16">
        <f t="shared" si="11"/>
        <v>293.79342770624214</v>
      </c>
      <c r="E174" s="16">
        <f t="shared" si="12"/>
        <v>0</v>
      </c>
      <c r="F174" s="16">
        <f t="shared" si="13"/>
        <v>293.79342770624214</v>
      </c>
    </row>
    <row r="175" spans="1:6">
      <c r="A175" s="12">
        <v>169</v>
      </c>
      <c r="B175" s="13">
        <f t="shared" si="14"/>
        <v>293.79342770624214</v>
      </c>
      <c r="C175" s="14">
        <f t="shared" si="10"/>
        <v>0.67327660516013821</v>
      </c>
      <c r="D175" s="13">
        <f t="shared" si="11"/>
        <v>294.46670431140228</v>
      </c>
      <c r="E175" s="13">
        <f t="shared" si="12"/>
        <v>0</v>
      </c>
      <c r="F175" s="13">
        <f t="shared" si="13"/>
        <v>294.46670431140228</v>
      </c>
    </row>
    <row r="176" spans="1:6">
      <c r="A176" s="12">
        <v>170</v>
      </c>
      <c r="B176" s="13">
        <f t="shared" si="14"/>
        <v>294.46670431140228</v>
      </c>
      <c r="C176" s="14">
        <f t="shared" si="10"/>
        <v>0.67481953071363021</v>
      </c>
      <c r="D176" s="13">
        <f t="shared" si="11"/>
        <v>295.14152384211593</v>
      </c>
      <c r="E176" s="13">
        <f t="shared" si="12"/>
        <v>0</v>
      </c>
      <c r="F176" s="13">
        <f t="shared" si="13"/>
        <v>295.14152384211593</v>
      </c>
    </row>
    <row r="177" spans="1:6">
      <c r="A177" s="12">
        <v>171</v>
      </c>
      <c r="B177" s="13">
        <f t="shared" si="14"/>
        <v>295.14152384211593</v>
      </c>
      <c r="C177" s="14">
        <f t="shared" si="10"/>
        <v>0.67636599213818238</v>
      </c>
      <c r="D177" s="13">
        <f t="shared" si="11"/>
        <v>295.81788983425412</v>
      </c>
      <c r="E177" s="13">
        <f t="shared" si="12"/>
        <v>0</v>
      </c>
      <c r="F177" s="13">
        <f t="shared" si="13"/>
        <v>295.81788983425412</v>
      </c>
    </row>
    <row r="178" spans="1:6">
      <c r="A178" s="12">
        <v>172</v>
      </c>
      <c r="B178" s="13">
        <f t="shared" si="14"/>
        <v>295.81788983425412</v>
      </c>
      <c r="C178" s="14">
        <f t="shared" si="10"/>
        <v>0.6779159975368324</v>
      </c>
      <c r="D178" s="13">
        <f t="shared" si="11"/>
        <v>296.49580583179096</v>
      </c>
      <c r="E178" s="13">
        <f t="shared" si="12"/>
        <v>0</v>
      </c>
      <c r="F178" s="13">
        <f t="shared" si="13"/>
        <v>296.49580583179096</v>
      </c>
    </row>
    <row r="179" spans="1:6">
      <c r="A179" s="12">
        <v>173</v>
      </c>
      <c r="B179" s="13">
        <f t="shared" si="14"/>
        <v>296.49580583179096</v>
      </c>
      <c r="C179" s="14">
        <f t="shared" si="10"/>
        <v>0.67946955503118767</v>
      </c>
      <c r="D179" s="13">
        <f t="shared" si="11"/>
        <v>297.17527538682214</v>
      </c>
      <c r="E179" s="13">
        <f t="shared" si="12"/>
        <v>0</v>
      </c>
      <c r="F179" s="13">
        <f t="shared" si="13"/>
        <v>297.17527538682214</v>
      </c>
    </row>
    <row r="180" spans="1:6">
      <c r="A180" s="12">
        <v>174</v>
      </c>
      <c r="B180" s="13">
        <f t="shared" si="14"/>
        <v>297.17527538682214</v>
      </c>
      <c r="C180" s="14">
        <f t="shared" si="10"/>
        <v>0.68102667276146744</v>
      </c>
      <c r="D180" s="13">
        <f t="shared" si="11"/>
        <v>297.85630205958358</v>
      </c>
      <c r="E180" s="13">
        <f t="shared" si="12"/>
        <v>0</v>
      </c>
      <c r="F180" s="13">
        <f t="shared" si="13"/>
        <v>297.85630205958358</v>
      </c>
    </row>
    <row r="181" spans="1:6">
      <c r="A181" s="12">
        <v>175</v>
      </c>
      <c r="B181" s="13">
        <f t="shared" si="14"/>
        <v>297.85630205958358</v>
      </c>
      <c r="C181" s="14">
        <f t="shared" si="10"/>
        <v>0.68258735888654576</v>
      </c>
      <c r="D181" s="13">
        <f t="shared" si="11"/>
        <v>298.53888941847015</v>
      </c>
      <c r="E181" s="13">
        <f t="shared" si="12"/>
        <v>0</v>
      </c>
      <c r="F181" s="13">
        <f t="shared" si="13"/>
        <v>298.53888941847015</v>
      </c>
    </row>
    <row r="182" spans="1:6">
      <c r="A182" s="12">
        <v>176</v>
      </c>
      <c r="B182" s="13">
        <f t="shared" si="14"/>
        <v>298.53888941847015</v>
      </c>
      <c r="C182" s="14">
        <f t="shared" si="10"/>
        <v>0.68415162158399412</v>
      </c>
      <c r="D182" s="13">
        <f t="shared" si="11"/>
        <v>299.22304104005417</v>
      </c>
      <c r="E182" s="13">
        <f t="shared" si="12"/>
        <v>0</v>
      </c>
      <c r="F182" s="13">
        <f t="shared" si="13"/>
        <v>299.22304104005417</v>
      </c>
    </row>
    <row r="183" spans="1:6">
      <c r="A183" s="12">
        <v>177</v>
      </c>
      <c r="B183" s="13">
        <f t="shared" si="14"/>
        <v>299.22304104005417</v>
      </c>
      <c r="C183" s="14">
        <f t="shared" si="10"/>
        <v>0.68571946905012415</v>
      </c>
      <c r="D183" s="13">
        <f t="shared" si="11"/>
        <v>299.9087605091043</v>
      </c>
      <c r="E183" s="13">
        <f t="shared" si="12"/>
        <v>0</v>
      </c>
      <c r="F183" s="13">
        <f t="shared" si="13"/>
        <v>299.9087605091043</v>
      </c>
    </row>
    <row r="184" spans="1:6">
      <c r="A184" s="12">
        <v>178</v>
      </c>
      <c r="B184" s="13">
        <f t="shared" si="14"/>
        <v>299.9087605091043</v>
      </c>
      <c r="C184" s="14">
        <f t="shared" si="10"/>
        <v>0.68729090950003069</v>
      </c>
      <c r="D184" s="13">
        <f t="shared" si="11"/>
        <v>300.5960514186043</v>
      </c>
      <c r="E184" s="13">
        <f t="shared" si="12"/>
        <v>0</v>
      </c>
      <c r="F184" s="13">
        <f t="shared" si="13"/>
        <v>300.5960514186043</v>
      </c>
    </row>
    <row r="185" spans="1:6">
      <c r="A185" s="12">
        <v>179</v>
      </c>
      <c r="B185" s="13">
        <f t="shared" si="14"/>
        <v>300.5960514186043</v>
      </c>
      <c r="C185" s="14">
        <f t="shared" si="10"/>
        <v>0.68886595116763483</v>
      </c>
      <c r="D185" s="13">
        <f t="shared" si="11"/>
        <v>301.28491736977196</v>
      </c>
      <c r="E185" s="13">
        <f t="shared" si="12"/>
        <v>0</v>
      </c>
      <c r="F185" s="13">
        <f t="shared" si="13"/>
        <v>301.28491736977196</v>
      </c>
    </row>
    <row r="186" spans="1:6">
      <c r="A186" s="12">
        <v>180</v>
      </c>
      <c r="B186" s="13">
        <f t="shared" si="14"/>
        <v>301.28491736977196</v>
      </c>
      <c r="C186" s="14">
        <f t="shared" si="10"/>
        <v>0.69044460230572746</v>
      </c>
      <c r="D186" s="13">
        <f t="shared" si="11"/>
        <v>301.97536197207768</v>
      </c>
      <c r="E186" s="13">
        <f t="shared" si="12"/>
        <v>0</v>
      </c>
      <c r="F186" s="13">
        <f t="shared" si="13"/>
        <v>301.97536197207768</v>
      </c>
    </row>
    <row r="187" spans="1:6">
      <c r="A187" s="12">
        <v>181</v>
      </c>
      <c r="B187" s="13">
        <f t="shared" si="14"/>
        <v>301.97536197207768</v>
      </c>
      <c r="C187" s="14">
        <f t="shared" si="10"/>
        <v>0.69202687118601136</v>
      </c>
      <c r="D187" s="13">
        <f t="shared" si="11"/>
        <v>302.66738884326367</v>
      </c>
      <c r="E187" s="13">
        <f t="shared" si="12"/>
        <v>0</v>
      </c>
      <c r="F187" s="13">
        <f t="shared" si="13"/>
        <v>302.66738884326367</v>
      </c>
    </row>
    <row r="188" spans="1:6">
      <c r="A188" s="12">
        <v>182</v>
      </c>
      <c r="B188" s="13">
        <f t="shared" si="14"/>
        <v>302.66738884326367</v>
      </c>
      <c r="C188" s="14">
        <f t="shared" si="10"/>
        <v>0.69361276609914591</v>
      </c>
      <c r="D188" s="13">
        <f t="shared" si="11"/>
        <v>303.3610016093628</v>
      </c>
      <c r="E188" s="13">
        <f t="shared" si="12"/>
        <v>0</v>
      </c>
      <c r="F188" s="13">
        <f t="shared" si="13"/>
        <v>303.3610016093628</v>
      </c>
    </row>
    <row r="189" spans="1:6">
      <c r="A189" s="12">
        <v>183</v>
      </c>
      <c r="B189" s="13">
        <f t="shared" si="14"/>
        <v>303.3610016093628</v>
      </c>
      <c r="C189" s="14">
        <f t="shared" si="10"/>
        <v>0.69520229535478972</v>
      </c>
      <c r="D189" s="13">
        <f t="shared" si="11"/>
        <v>304.05620390471762</v>
      </c>
      <c r="E189" s="13">
        <f t="shared" si="12"/>
        <v>0</v>
      </c>
      <c r="F189" s="13">
        <f t="shared" si="13"/>
        <v>304.05620390471762</v>
      </c>
    </row>
    <row r="190" spans="1:6">
      <c r="A190" s="12">
        <v>184</v>
      </c>
      <c r="B190" s="13">
        <f t="shared" si="14"/>
        <v>304.05620390471762</v>
      </c>
      <c r="C190" s="14">
        <f t="shared" si="10"/>
        <v>0.69679546728164454</v>
      </c>
      <c r="D190" s="13">
        <f t="shared" si="11"/>
        <v>304.75299937199924</v>
      </c>
      <c r="E190" s="13">
        <f t="shared" si="12"/>
        <v>0</v>
      </c>
      <c r="F190" s="13">
        <f t="shared" si="13"/>
        <v>304.75299937199924</v>
      </c>
    </row>
    <row r="191" spans="1:6">
      <c r="A191" s="12">
        <v>185</v>
      </c>
      <c r="B191" s="13">
        <f t="shared" si="14"/>
        <v>304.75299937199924</v>
      </c>
      <c r="C191" s="14">
        <f t="shared" si="10"/>
        <v>0.69839229022749827</v>
      </c>
      <c r="D191" s="13">
        <f t="shared" si="11"/>
        <v>305.45139166222674</v>
      </c>
      <c r="E191" s="13">
        <f t="shared" si="12"/>
        <v>0</v>
      </c>
      <c r="F191" s="13">
        <f t="shared" si="13"/>
        <v>305.45139166222674</v>
      </c>
    </row>
    <row r="192" spans="1:6">
      <c r="A192" s="12">
        <v>186</v>
      </c>
      <c r="B192" s="13">
        <f t="shared" si="14"/>
        <v>305.45139166222674</v>
      </c>
      <c r="C192" s="14">
        <f t="shared" si="10"/>
        <v>0.69999277255926962</v>
      </c>
      <c r="D192" s="13">
        <f t="shared" si="11"/>
        <v>306.151384434786</v>
      </c>
      <c r="E192" s="13">
        <f t="shared" si="12"/>
        <v>0</v>
      </c>
      <c r="F192" s="13">
        <f t="shared" si="13"/>
        <v>306.151384434786</v>
      </c>
    </row>
    <row r="193" spans="1:6">
      <c r="A193" s="12">
        <v>187</v>
      </c>
      <c r="B193" s="13">
        <f t="shared" si="14"/>
        <v>306.151384434786</v>
      </c>
      <c r="C193" s="14">
        <f t="shared" si="10"/>
        <v>0.70159692266305129</v>
      </c>
      <c r="D193" s="13">
        <f t="shared" si="11"/>
        <v>306.85298135744904</v>
      </c>
      <c r="E193" s="13">
        <f t="shared" si="12"/>
        <v>0</v>
      </c>
      <c r="F193" s="13">
        <f t="shared" si="13"/>
        <v>306.85298135744904</v>
      </c>
    </row>
    <row r="194" spans="1:6">
      <c r="A194" s="12">
        <v>188</v>
      </c>
      <c r="B194" s="13">
        <f t="shared" si="14"/>
        <v>306.85298135744904</v>
      </c>
      <c r="C194" s="14">
        <f t="shared" si="10"/>
        <v>0.70320474894415408</v>
      </c>
      <c r="D194" s="13">
        <f t="shared" si="11"/>
        <v>307.55618610639317</v>
      </c>
      <c r="E194" s="13">
        <f t="shared" si="12"/>
        <v>0</v>
      </c>
      <c r="F194" s="13">
        <f t="shared" si="13"/>
        <v>307.55618610639317</v>
      </c>
    </row>
    <row r="195" spans="1:6">
      <c r="A195" s="12">
        <v>189</v>
      </c>
      <c r="B195" s="13">
        <f t="shared" si="14"/>
        <v>307.55618610639317</v>
      </c>
      <c r="C195" s="14">
        <f t="shared" si="10"/>
        <v>0.70481625982715101</v>
      </c>
      <c r="D195" s="13">
        <f t="shared" si="11"/>
        <v>308.26100236622034</v>
      </c>
      <c r="E195" s="13">
        <f t="shared" si="12"/>
        <v>0</v>
      </c>
      <c r="F195" s="13">
        <f t="shared" si="13"/>
        <v>308.26100236622034</v>
      </c>
    </row>
    <row r="196" spans="1:6">
      <c r="A196" s="12">
        <v>190</v>
      </c>
      <c r="B196" s="13">
        <f t="shared" si="14"/>
        <v>308.26100236622034</v>
      </c>
      <c r="C196" s="14">
        <f t="shared" si="10"/>
        <v>0.70643146375592158</v>
      </c>
      <c r="D196" s="13">
        <f t="shared" si="11"/>
        <v>308.96743382997624</v>
      </c>
      <c r="E196" s="13">
        <f t="shared" si="12"/>
        <v>0</v>
      </c>
      <c r="F196" s="13">
        <f t="shared" si="13"/>
        <v>308.96743382997624</v>
      </c>
    </row>
    <row r="197" spans="1:6">
      <c r="A197" s="12">
        <v>191</v>
      </c>
      <c r="B197" s="13">
        <f t="shared" si="14"/>
        <v>308.96743382997624</v>
      </c>
      <c r="C197" s="14">
        <f t="shared" si="10"/>
        <v>0.70805036919369557</v>
      </c>
      <c r="D197" s="13">
        <f t="shared" si="11"/>
        <v>309.67548419916994</v>
      </c>
      <c r="E197" s="13">
        <f t="shared" si="12"/>
        <v>0</v>
      </c>
      <c r="F197" s="13">
        <f t="shared" si="13"/>
        <v>309.67548419916994</v>
      </c>
    </row>
    <row r="198" spans="1:6">
      <c r="A198" s="12">
        <v>192</v>
      </c>
      <c r="B198" s="13">
        <f t="shared" si="14"/>
        <v>309.67548419916994</v>
      </c>
      <c r="C198" s="14">
        <f t="shared" si="10"/>
        <v>0.7096729846230978</v>
      </c>
      <c r="D198" s="13">
        <f t="shared" si="11"/>
        <v>310.38515718379307</v>
      </c>
      <c r="E198" s="13">
        <f t="shared" si="12"/>
        <v>0</v>
      </c>
      <c r="F198" s="13">
        <f t="shared" si="13"/>
        <v>310.38515718379307</v>
      </c>
    </row>
    <row r="199" spans="1:6">
      <c r="A199" s="12">
        <v>193</v>
      </c>
      <c r="B199" s="13">
        <f t="shared" si="14"/>
        <v>310.38515718379307</v>
      </c>
      <c r="C199" s="14">
        <f t="shared" ref="C199:C246" si="15">-IPMT($C$3/12,1,$C$4*12,B199)</f>
        <v>0.71129931854619244</v>
      </c>
      <c r="D199" s="13">
        <f t="shared" ref="D199:D246" si="16">SUM(B199:C199)</f>
        <v>311.09645650233927</v>
      </c>
      <c r="E199" s="13">
        <f t="shared" ref="E199:E246" si="17">C199-(C199*$C$5)</f>
        <v>0</v>
      </c>
      <c r="F199" s="13">
        <f t="shared" ref="F199:F246" si="18">D199-E199</f>
        <v>311.09645650233927</v>
      </c>
    </row>
    <row r="200" spans="1:6">
      <c r="A200" s="12">
        <v>194</v>
      </c>
      <c r="B200" s="13">
        <f t="shared" ref="B200:B246" si="19">F199</f>
        <v>311.09645650233927</v>
      </c>
      <c r="C200" s="14">
        <f t="shared" si="15"/>
        <v>0.7129293794845275</v>
      </c>
      <c r="D200" s="13">
        <f t="shared" si="16"/>
        <v>311.8093858818238</v>
      </c>
      <c r="E200" s="13">
        <f t="shared" si="17"/>
        <v>0</v>
      </c>
      <c r="F200" s="13">
        <f t="shared" si="18"/>
        <v>311.8093858818238</v>
      </c>
    </row>
    <row r="201" spans="1:6">
      <c r="A201" s="12">
        <v>195</v>
      </c>
      <c r="B201" s="13">
        <f t="shared" si="19"/>
        <v>311.8093858818238</v>
      </c>
      <c r="C201" s="14">
        <f t="shared" si="15"/>
        <v>0.71456317597917951</v>
      </c>
      <c r="D201" s="13">
        <f t="shared" si="16"/>
        <v>312.52394905780295</v>
      </c>
      <c r="E201" s="13">
        <f t="shared" si="17"/>
        <v>0</v>
      </c>
      <c r="F201" s="13">
        <f t="shared" si="18"/>
        <v>312.52394905780295</v>
      </c>
    </row>
    <row r="202" spans="1:6">
      <c r="A202" s="12">
        <v>196</v>
      </c>
      <c r="B202" s="13">
        <f t="shared" si="19"/>
        <v>312.52394905780295</v>
      </c>
      <c r="C202" s="14">
        <f t="shared" si="15"/>
        <v>0.71620071659079843</v>
      </c>
      <c r="D202" s="13">
        <f t="shared" si="16"/>
        <v>313.24014977439373</v>
      </c>
      <c r="E202" s="13">
        <f t="shared" si="17"/>
        <v>0</v>
      </c>
      <c r="F202" s="13">
        <f t="shared" si="18"/>
        <v>313.24014977439373</v>
      </c>
    </row>
    <row r="203" spans="1:6">
      <c r="A203" s="12">
        <v>197</v>
      </c>
      <c r="B203" s="13">
        <f t="shared" si="19"/>
        <v>313.24014977439373</v>
      </c>
      <c r="C203" s="14">
        <f t="shared" si="15"/>
        <v>0.7178420098996523</v>
      </c>
      <c r="D203" s="13">
        <f t="shared" si="16"/>
        <v>313.95799178429337</v>
      </c>
      <c r="E203" s="13">
        <f t="shared" si="17"/>
        <v>0</v>
      </c>
      <c r="F203" s="13">
        <f t="shared" si="18"/>
        <v>313.95799178429337</v>
      </c>
    </row>
    <row r="204" spans="1:6">
      <c r="A204" s="12">
        <v>198</v>
      </c>
      <c r="B204" s="13">
        <f t="shared" si="19"/>
        <v>313.95799178429337</v>
      </c>
      <c r="C204" s="14">
        <f t="shared" si="15"/>
        <v>0.71948706450567235</v>
      </c>
      <c r="D204" s="13">
        <f t="shared" si="16"/>
        <v>314.67747884879907</v>
      </c>
      <c r="E204" s="13">
        <f t="shared" si="17"/>
        <v>0</v>
      </c>
      <c r="F204" s="13">
        <f t="shared" si="18"/>
        <v>314.67747884879907</v>
      </c>
    </row>
    <row r="205" spans="1:6">
      <c r="A205" s="12">
        <v>199</v>
      </c>
      <c r="B205" s="13">
        <f t="shared" si="19"/>
        <v>314.67747884879907</v>
      </c>
      <c r="C205" s="14">
        <f t="shared" si="15"/>
        <v>0.7211358890284979</v>
      </c>
      <c r="D205" s="13">
        <f t="shared" si="16"/>
        <v>315.39861473782759</v>
      </c>
      <c r="E205" s="13">
        <f t="shared" si="17"/>
        <v>0</v>
      </c>
      <c r="F205" s="13">
        <f t="shared" si="18"/>
        <v>315.39861473782759</v>
      </c>
    </row>
    <row r="206" spans="1:6">
      <c r="A206" s="12">
        <v>200</v>
      </c>
      <c r="B206" s="13">
        <f t="shared" si="19"/>
        <v>315.39861473782759</v>
      </c>
      <c r="C206" s="14">
        <f t="shared" si="15"/>
        <v>0.72278849210752161</v>
      </c>
      <c r="D206" s="13">
        <f t="shared" si="16"/>
        <v>316.12140322993508</v>
      </c>
      <c r="E206" s="13">
        <f t="shared" si="17"/>
        <v>0</v>
      </c>
      <c r="F206" s="13">
        <f t="shared" si="18"/>
        <v>316.12140322993508</v>
      </c>
    </row>
    <row r="207" spans="1:6">
      <c r="A207" s="12">
        <v>201</v>
      </c>
      <c r="B207" s="13">
        <f t="shared" si="19"/>
        <v>316.12140322993508</v>
      </c>
      <c r="C207" s="14">
        <f t="shared" si="15"/>
        <v>0.72444488240193461</v>
      </c>
      <c r="D207" s="13">
        <f t="shared" si="16"/>
        <v>316.84584811233702</v>
      </c>
      <c r="E207" s="13">
        <f t="shared" si="17"/>
        <v>0</v>
      </c>
      <c r="F207" s="13">
        <f t="shared" si="18"/>
        <v>316.84584811233702</v>
      </c>
    </row>
    <row r="208" spans="1:6">
      <c r="A208" s="12">
        <v>202</v>
      </c>
      <c r="B208" s="13">
        <f t="shared" si="19"/>
        <v>316.84584811233702</v>
      </c>
      <c r="C208" s="14">
        <f t="shared" si="15"/>
        <v>0.7261050685907724</v>
      </c>
      <c r="D208" s="13">
        <f t="shared" si="16"/>
        <v>317.57195318092778</v>
      </c>
      <c r="E208" s="13">
        <f t="shared" si="17"/>
        <v>0</v>
      </c>
      <c r="F208" s="13">
        <f t="shared" si="18"/>
        <v>317.57195318092778</v>
      </c>
    </row>
    <row r="209" spans="1:6">
      <c r="A209" s="12">
        <v>203</v>
      </c>
      <c r="B209" s="13">
        <f t="shared" si="19"/>
        <v>317.57195318092778</v>
      </c>
      <c r="C209" s="14">
        <f t="shared" si="15"/>
        <v>0.72776905937295955</v>
      </c>
      <c r="D209" s="13">
        <f t="shared" si="16"/>
        <v>318.29972224030075</v>
      </c>
      <c r="E209" s="13">
        <f t="shared" si="17"/>
        <v>0</v>
      </c>
      <c r="F209" s="13">
        <f t="shared" si="18"/>
        <v>318.29972224030075</v>
      </c>
    </row>
    <row r="210" spans="1:6">
      <c r="A210" s="12">
        <v>204</v>
      </c>
      <c r="B210" s="13">
        <f t="shared" si="19"/>
        <v>318.29972224030075</v>
      </c>
      <c r="C210" s="14">
        <f t="shared" si="15"/>
        <v>0.72943686346735592</v>
      </c>
      <c r="D210" s="13">
        <f t="shared" si="16"/>
        <v>319.02915910376811</v>
      </c>
      <c r="E210" s="13">
        <f t="shared" si="17"/>
        <v>0</v>
      </c>
      <c r="F210" s="13">
        <f t="shared" si="18"/>
        <v>319.02915910376811</v>
      </c>
    </row>
    <row r="211" spans="1:6">
      <c r="A211" s="12">
        <v>205</v>
      </c>
      <c r="B211" s="13">
        <f t="shared" si="19"/>
        <v>319.02915910376811</v>
      </c>
      <c r="C211" s="14">
        <f t="shared" si="15"/>
        <v>0.73110848961280195</v>
      </c>
      <c r="D211" s="13">
        <f t="shared" si="16"/>
        <v>319.76026759338089</v>
      </c>
      <c r="E211" s="13">
        <f t="shared" si="17"/>
        <v>0</v>
      </c>
      <c r="F211" s="13">
        <f t="shared" si="18"/>
        <v>319.76026759338089</v>
      </c>
    </row>
    <row r="212" spans="1:6">
      <c r="A212" s="12">
        <v>206</v>
      </c>
      <c r="B212" s="13">
        <f t="shared" si="19"/>
        <v>319.76026759338089</v>
      </c>
      <c r="C212" s="14">
        <f t="shared" si="15"/>
        <v>0.73278394656816459</v>
      </c>
      <c r="D212" s="13">
        <f t="shared" si="16"/>
        <v>320.49305153994908</v>
      </c>
      <c r="E212" s="13">
        <f t="shared" si="17"/>
        <v>0</v>
      </c>
      <c r="F212" s="13">
        <f t="shared" si="18"/>
        <v>320.49305153994908</v>
      </c>
    </row>
    <row r="213" spans="1:6">
      <c r="A213" s="12">
        <v>207</v>
      </c>
      <c r="B213" s="13">
        <f t="shared" si="19"/>
        <v>320.49305153994908</v>
      </c>
      <c r="C213" s="14">
        <f t="shared" si="15"/>
        <v>0.73446324311238331</v>
      </c>
      <c r="D213" s="13">
        <f t="shared" si="16"/>
        <v>321.22751478306145</v>
      </c>
      <c r="E213" s="13">
        <f t="shared" si="17"/>
        <v>0</v>
      </c>
      <c r="F213" s="13">
        <f t="shared" si="18"/>
        <v>321.22751478306145</v>
      </c>
    </row>
    <row r="214" spans="1:6">
      <c r="A214" s="12">
        <v>208</v>
      </c>
      <c r="B214" s="13">
        <f t="shared" si="19"/>
        <v>321.22751478306145</v>
      </c>
      <c r="C214" s="14">
        <f t="shared" si="15"/>
        <v>0.73614638804451582</v>
      </c>
      <c r="D214" s="13">
        <f t="shared" si="16"/>
        <v>321.96366117110597</v>
      </c>
      <c r="E214" s="13">
        <f t="shared" si="17"/>
        <v>0</v>
      </c>
      <c r="F214" s="13">
        <f t="shared" si="18"/>
        <v>321.96366117110597</v>
      </c>
    </row>
    <row r="215" spans="1:6">
      <c r="A215" s="12">
        <v>209</v>
      </c>
      <c r="B215" s="13">
        <f t="shared" si="19"/>
        <v>321.96366117110597</v>
      </c>
      <c r="C215" s="14">
        <f t="shared" si="15"/>
        <v>0.73783339018378447</v>
      </c>
      <c r="D215" s="13">
        <f t="shared" si="16"/>
        <v>322.70149456128973</v>
      </c>
      <c r="E215" s="13">
        <f t="shared" si="17"/>
        <v>0</v>
      </c>
      <c r="F215" s="13">
        <f t="shared" si="18"/>
        <v>322.70149456128973</v>
      </c>
    </row>
    <row r="216" spans="1:6">
      <c r="A216" s="12">
        <v>210</v>
      </c>
      <c r="B216" s="13">
        <f t="shared" si="19"/>
        <v>322.70149456128973</v>
      </c>
      <c r="C216" s="14">
        <f t="shared" si="15"/>
        <v>0.73952425836962232</v>
      </c>
      <c r="D216" s="13">
        <f t="shared" si="16"/>
        <v>323.44101881965935</v>
      </c>
      <c r="E216" s="13">
        <f t="shared" si="17"/>
        <v>0</v>
      </c>
      <c r="F216" s="13">
        <f t="shared" si="18"/>
        <v>323.44101881965935</v>
      </c>
    </row>
    <row r="217" spans="1:6">
      <c r="A217" s="12">
        <v>211</v>
      </c>
      <c r="B217" s="13">
        <f t="shared" si="19"/>
        <v>323.44101881965935</v>
      </c>
      <c r="C217" s="14">
        <f t="shared" si="15"/>
        <v>0.74121900146171937</v>
      </c>
      <c r="D217" s="13">
        <f t="shared" si="16"/>
        <v>324.18223782112108</v>
      </c>
      <c r="E217" s="13">
        <f t="shared" si="17"/>
        <v>0</v>
      </c>
      <c r="F217" s="13">
        <f t="shared" si="18"/>
        <v>324.18223782112108</v>
      </c>
    </row>
    <row r="218" spans="1:6">
      <c r="A218" s="12">
        <v>212</v>
      </c>
      <c r="B218" s="13">
        <f t="shared" si="19"/>
        <v>324.18223782112108</v>
      </c>
      <c r="C218" s="14">
        <f t="shared" si="15"/>
        <v>0.74291762834006914</v>
      </c>
      <c r="D218" s="13">
        <f t="shared" si="16"/>
        <v>324.92515544946116</v>
      </c>
      <c r="E218" s="13">
        <f t="shared" si="17"/>
        <v>0</v>
      </c>
      <c r="F218" s="13">
        <f t="shared" si="18"/>
        <v>324.92515544946116</v>
      </c>
    </row>
    <row r="219" spans="1:6">
      <c r="A219" s="12">
        <v>213</v>
      </c>
      <c r="B219" s="13">
        <f t="shared" si="19"/>
        <v>324.92515544946116</v>
      </c>
      <c r="C219" s="14">
        <f t="shared" si="15"/>
        <v>0.74462014790501518</v>
      </c>
      <c r="D219" s="13">
        <f t="shared" si="16"/>
        <v>325.6697755973662</v>
      </c>
      <c r="E219" s="13">
        <f t="shared" si="17"/>
        <v>0</v>
      </c>
      <c r="F219" s="13">
        <f t="shared" si="18"/>
        <v>325.6697755973662</v>
      </c>
    </row>
    <row r="220" spans="1:6">
      <c r="A220" s="12">
        <v>214</v>
      </c>
      <c r="B220" s="13">
        <f t="shared" si="19"/>
        <v>325.6697755973662</v>
      </c>
      <c r="C220" s="14">
        <f t="shared" si="15"/>
        <v>0.74632656907729755</v>
      </c>
      <c r="D220" s="13">
        <f t="shared" si="16"/>
        <v>326.41610216644352</v>
      </c>
      <c r="E220" s="13">
        <f t="shared" si="17"/>
        <v>0</v>
      </c>
      <c r="F220" s="13">
        <f t="shared" si="18"/>
        <v>326.41610216644352</v>
      </c>
    </row>
    <row r="221" spans="1:6">
      <c r="A221" s="12">
        <v>215</v>
      </c>
      <c r="B221" s="13">
        <f t="shared" si="19"/>
        <v>326.41610216644352</v>
      </c>
      <c r="C221" s="14">
        <f t="shared" si="15"/>
        <v>0.7480369007980997</v>
      </c>
      <c r="D221" s="13">
        <f t="shared" si="16"/>
        <v>327.16413906724165</v>
      </c>
      <c r="E221" s="13">
        <f t="shared" si="17"/>
        <v>0</v>
      </c>
      <c r="F221" s="13">
        <f t="shared" si="18"/>
        <v>327.16413906724165</v>
      </c>
    </row>
    <row r="222" spans="1:6">
      <c r="A222" s="12">
        <v>216</v>
      </c>
      <c r="B222" s="13">
        <f t="shared" si="19"/>
        <v>327.16413906724165</v>
      </c>
      <c r="C222" s="14">
        <f t="shared" si="15"/>
        <v>0.74975115202909548</v>
      </c>
      <c r="D222" s="13">
        <f t="shared" si="16"/>
        <v>327.91389021927074</v>
      </c>
      <c r="E222" s="13">
        <f t="shared" si="17"/>
        <v>0</v>
      </c>
      <c r="F222" s="13">
        <f t="shared" si="18"/>
        <v>327.91389021927074</v>
      </c>
    </row>
    <row r="223" spans="1:6">
      <c r="A223" s="12">
        <v>217</v>
      </c>
      <c r="B223" s="13">
        <f t="shared" si="19"/>
        <v>327.91389021927074</v>
      </c>
      <c r="C223" s="14">
        <f t="shared" si="15"/>
        <v>0.75146933175249542</v>
      </c>
      <c r="D223" s="13">
        <f t="shared" si="16"/>
        <v>328.66535955102324</v>
      </c>
      <c r="E223" s="13">
        <f t="shared" si="17"/>
        <v>0</v>
      </c>
      <c r="F223" s="13">
        <f t="shared" si="18"/>
        <v>328.66535955102324</v>
      </c>
    </row>
    <row r="224" spans="1:6">
      <c r="A224" s="12">
        <v>218</v>
      </c>
      <c r="B224" s="13">
        <f t="shared" si="19"/>
        <v>328.66535955102324</v>
      </c>
      <c r="C224" s="14">
        <f t="shared" si="15"/>
        <v>0.75319144897109491</v>
      </c>
      <c r="D224" s="13">
        <f t="shared" si="16"/>
        <v>329.41855099999435</v>
      </c>
      <c r="E224" s="13">
        <f t="shared" si="17"/>
        <v>0</v>
      </c>
      <c r="F224" s="13">
        <f t="shared" si="18"/>
        <v>329.41855099999435</v>
      </c>
    </row>
    <row r="225" spans="1:6">
      <c r="A225" s="12">
        <v>219</v>
      </c>
      <c r="B225" s="13">
        <f t="shared" si="19"/>
        <v>329.41855099999435</v>
      </c>
      <c r="C225" s="14">
        <f t="shared" si="15"/>
        <v>0.75491751270832042</v>
      </c>
      <c r="D225" s="13">
        <f t="shared" si="16"/>
        <v>330.1734685127027</v>
      </c>
      <c r="E225" s="13">
        <f t="shared" si="17"/>
        <v>0</v>
      </c>
      <c r="F225" s="13">
        <f t="shared" si="18"/>
        <v>330.1734685127027</v>
      </c>
    </row>
    <row r="226" spans="1:6">
      <c r="A226" s="12">
        <v>220</v>
      </c>
      <c r="B226" s="13">
        <f t="shared" si="19"/>
        <v>330.1734685127027</v>
      </c>
      <c r="C226" s="14">
        <f t="shared" si="15"/>
        <v>0.75664753200827706</v>
      </c>
      <c r="D226" s="13">
        <f t="shared" si="16"/>
        <v>330.93011604471099</v>
      </c>
      <c r="E226" s="13">
        <f t="shared" si="17"/>
        <v>0</v>
      </c>
      <c r="F226" s="13">
        <f t="shared" si="18"/>
        <v>330.93011604471099</v>
      </c>
    </row>
    <row r="227" spans="1:6">
      <c r="A227" s="12">
        <v>221</v>
      </c>
      <c r="B227" s="13">
        <f t="shared" si="19"/>
        <v>330.93011604471099</v>
      </c>
      <c r="C227" s="14">
        <f t="shared" si="15"/>
        <v>0.75838151593579606</v>
      </c>
      <c r="D227" s="13">
        <f t="shared" si="16"/>
        <v>331.68849756064679</v>
      </c>
      <c r="E227" s="13">
        <f t="shared" si="17"/>
        <v>0</v>
      </c>
      <c r="F227" s="13">
        <f t="shared" si="18"/>
        <v>331.68849756064679</v>
      </c>
    </row>
    <row r="228" spans="1:6">
      <c r="A228" s="12">
        <v>222</v>
      </c>
      <c r="B228" s="13">
        <f t="shared" si="19"/>
        <v>331.68849756064679</v>
      </c>
      <c r="C228" s="14">
        <f t="shared" si="15"/>
        <v>0.76011947357648224</v>
      </c>
      <c r="D228" s="13">
        <f t="shared" si="16"/>
        <v>332.44861703422328</v>
      </c>
      <c r="E228" s="13">
        <f t="shared" si="17"/>
        <v>0</v>
      </c>
      <c r="F228" s="13">
        <f t="shared" si="18"/>
        <v>332.44861703422328</v>
      </c>
    </row>
    <row r="229" spans="1:6">
      <c r="A229" s="12">
        <v>223</v>
      </c>
      <c r="B229" s="13">
        <f t="shared" si="19"/>
        <v>332.44861703422328</v>
      </c>
      <c r="C229" s="14">
        <f t="shared" si="15"/>
        <v>0.76186141403676166</v>
      </c>
      <c r="D229" s="13">
        <f t="shared" si="16"/>
        <v>333.21047844826006</v>
      </c>
      <c r="E229" s="13">
        <f t="shared" si="17"/>
        <v>0</v>
      </c>
      <c r="F229" s="13">
        <f t="shared" si="18"/>
        <v>333.21047844826006</v>
      </c>
    </row>
    <row r="230" spans="1:6">
      <c r="A230" s="12">
        <v>224</v>
      </c>
      <c r="B230" s="13">
        <f t="shared" si="19"/>
        <v>333.21047844826006</v>
      </c>
      <c r="C230" s="14">
        <f t="shared" si="15"/>
        <v>0.76360734644392936</v>
      </c>
      <c r="D230" s="13">
        <f t="shared" si="16"/>
        <v>333.97408579470397</v>
      </c>
      <c r="E230" s="13">
        <f t="shared" si="17"/>
        <v>0</v>
      </c>
      <c r="F230" s="13">
        <f t="shared" si="18"/>
        <v>333.97408579470397</v>
      </c>
    </row>
    <row r="231" spans="1:6">
      <c r="A231" s="12">
        <v>225</v>
      </c>
      <c r="B231" s="13">
        <f t="shared" si="19"/>
        <v>333.97408579470397</v>
      </c>
      <c r="C231" s="14">
        <f t="shared" si="15"/>
        <v>0.76535727994619662</v>
      </c>
      <c r="D231" s="13">
        <f t="shared" si="16"/>
        <v>334.73944307465018</v>
      </c>
      <c r="E231" s="13">
        <f t="shared" si="17"/>
        <v>0</v>
      </c>
      <c r="F231" s="13">
        <f t="shared" si="18"/>
        <v>334.73944307465018</v>
      </c>
    </row>
    <row r="232" spans="1:6">
      <c r="A232" s="12">
        <v>226</v>
      </c>
      <c r="B232" s="13">
        <f t="shared" si="19"/>
        <v>334.73944307465018</v>
      </c>
      <c r="C232" s="14">
        <f t="shared" si="15"/>
        <v>0.76711122371273999</v>
      </c>
      <c r="D232" s="13">
        <f t="shared" si="16"/>
        <v>335.50655429836291</v>
      </c>
      <c r="E232" s="13">
        <f t="shared" si="17"/>
        <v>0</v>
      </c>
      <c r="F232" s="13">
        <f t="shared" si="18"/>
        <v>335.50655429836291</v>
      </c>
    </row>
    <row r="233" spans="1:6">
      <c r="A233" s="12">
        <v>227</v>
      </c>
      <c r="B233" s="13">
        <f t="shared" si="19"/>
        <v>335.50655429836291</v>
      </c>
      <c r="C233" s="14">
        <f t="shared" si="15"/>
        <v>0.76886918693374839</v>
      </c>
      <c r="D233" s="13">
        <f t="shared" si="16"/>
        <v>336.27542348529664</v>
      </c>
      <c r="E233" s="13">
        <f t="shared" si="17"/>
        <v>0</v>
      </c>
      <c r="F233" s="13">
        <f t="shared" si="18"/>
        <v>336.27542348529664</v>
      </c>
    </row>
    <row r="234" spans="1:6">
      <c r="A234" s="12">
        <v>228</v>
      </c>
      <c r="B234" s="13">
        <f t="shared" si="19"/>
        <v>336.27542348529664</v>
      </c>
      <c r="C234" s="14">
        <f t="shared" si="15"/>
        <v>0.7706311788204715</v>
      </c>
      <c r="D234" s="13">
        <f t="shared" si="16"/>
        <v>337.04605466411709</v>
      </c>
      <c r="E234" s="13">
        <f t="shared" si="17"/>
        <v>0</v>
      </c>
      <c r="F234" s="13">
        <f t="shared" si="18"/>
        <v>337.04605466411709</v>
      </c>
    </row>
    <row r="235" spans="1:6">
      <c r="A235" s="12">
        <v>229</v>
      </c>
      <c r="B235" s="13">
        <f t="shared" si="19"/>
        <v>337.04605466411709</v>
      </c>
      <c r="C235" s="14">
        <f t="shared" si="15"/>
        <v>0.77239720860526839</v>
      </c>
      <c r="D235" s="13">
        <f t="shared" si="16"/>
        <v>337.81845187272233</v>
      </c>
      <c r="E235" s="13">
        <f t="shared" si="17"/>
        <v>0</v>
      </c>
      <c r="F235" s="13">
        <f t="shared" si="18"/>
        <v>337.81845187272233</v>
      </c>
    </row>
    <row r="236" spans="1:6">
      <c r="A236" s="12">
        <v>230</v>
      </c>
      <c r="B236" s="13">
        <f t="shared" si="19"/>
        <v>337.81845187272233</v>
      </c>
      <c r="C236" s="14">
        <f t="shared" si="15"/>
        <v>0.77416728554165537</v>
      </c>
      <c r="D236" s="13">
        <f t="shared" si="16"/>
        <v>338.59261915826397</v>
      </c>
      <c r="E236" s="13">
        <f t="shared" si="17"/>
        <v>0</v>
      </c>
      <c r="F236" s="13">
        <f t="shared" si="18"/>
        <v>338.59261915826397</v>
      </c>
    </row>
    <row r="237" spans="1:6">
      <c r="A237" s="12">
        <v>231</v>
      </c>
      <c r="B237" s="13">
        <f t="shared" si="19"/>
        <v>338.59261915826397</v>
      </c>
      <c r="C237" s="14">
        <f t="shared" si="15"/>
        <v>0.77594141890435497</v>
      </c>
      <c r="D237" s="13">
        <f t="shared" si="16"/>
        <v>339.36856057716835</v>
      </c>
      <c r="E237" s="13">
        <f t="shared" si="17"/>
        <v>0</v>
      </c>
      <c r="F237" s="13">
        <f t="shared" si="18"/>
        <v>339.36856057716835</v>
      </c>
    </row>
    <row r="238" spans="1:6">
      <c r="A238" s="12">
        <v>232</v>
      </c>
      <c r="B238" s="13">
        <f t="shared" si="19"/>
        <v>339.36856057716835</v>
      </c>
      <c r="C238" s="14">
        <f t="shared" si="15"/>
        <v>0.77771961798934419</v>
      </c>
      <c r="D238" s="13">
        <f t="shared" si="16"/>
        <v>340.14628019515771</v>
      </c>
      <c r="E238" s="13">
        <f t="shared" si="17"/>
        <v>0</v>
      </c>
      <c r="F238" s="13">
        <f t="shared" si="18"/>
        <v>340.14628019515771</v>
      </c>
    </row>
    <row r="239" spans="1:6">
      <c r="A239" s="12">
        <v>233</v>
      </c>
      <c r="B239" s="13">
        <f t="shared" si="19"/>
        <v>340.14628019515771</v>
      </c>
      <c r="C239" s="14">
        <f t="shared" si="15"/>
        <v>0.77950189211390308</v>
      </c>
      <c r="D239" s="13">
        <f t="shared" si="16"/>
        <v>340.92578208727161</v>
      </c>
      <c r="E239" s="13">
        <f t="shared" si="17"/>
        <v>0</v>
      </c>
      <c r="F239" s="13">
        <f t="shared" si="18"/>
        <v>340.92578208727161</v>
      </c>
    </row>
    <row r="240" spans="1:6">
      <c r="A240" s="12">
        <v>234</v>
      </c>
      <c r="B240" s="13">
        <f t="shared" si="19"/>
        <v>340.92578208727161</v>
      </c>
      <c r="C240" s="14">
        <f t="shared" si="15"/>
        <v>0.78128825061666407</v>
      </c>
      <c r="D240" s="13">
        <f t="shared" si="16"/>
        <v>341.7070703378883</v>
      </c>
      <c r="E240" s="13">
        <f t="shared" si="17"/>
        <v>0</v>
      </c>
      <c r="F240" s="13">
        <f t="shared" si="18"/>
        <v>341.7070703378883</v>
      </c>
    </row>
    <row r="241" spans="1:6">
      <c r="A241" s="12">
        <v>235</v>
      </c>
      <c r="B241" s="13">
        <f t="shared" si="19"/>
        <v>341.7070703378883</v>
      </c>
      <c r="C241" s="14">
        <f t="shared" si="15"/>
        <v>0.78307870285766068</v>
      </c>
      <c r="D241" s="13">
        <f t="shared" si="16"/>
        <v>342.49014904074596</v>
      </c>
      <c r="E241" s="13">
        <f t="shared" si="17"/>
        <v>0</v>
      </c>
      <c r="F241" s="13">
        <f t="shared" si="18"/>
        <v>342.49014904074596</v>
      </c>
    </row>
    <row r="242" spans="1:6">
      <c r="A242" s="12">
        <v>236</v>
      </c>
      <c r="B242" s="13">
        <f t="shared" si="19"/>
        <v>342.49014904074596</v>
      </c>
      <c r="C242" s="14">
        <f t="shared" si="15"/>
        <v>0.78487325821837617</v>
      </c>
      <c r="D242" s="13">
        <f t="shared" si="16"/>
        <v>343.27502229896436</v>
      </c>
      <c r="E242" s="13">
        <f t="shared" si="17"/>
        <v>0</v>
      </c>
      <c r="F242" s="13">
        <f t="shared" si="18"/>
        <v>343.27502229896436</v>
      </c>
    </row>
    <row r="243" spans="1:6">
      <c r="A243" s="12">
        <v>237</v>
      </c>
      <c r="B243" s="13">
        <f t="shared" si="19"/>
        <v>343.27502229896436</v>
      </c>
      <c r="C243" s="14">
        <f t="shared" si="15"/>
        <v>0.78667192610179337</v>
      </c>
      <c r="D243" s="13">
        <f t="shared" si="16"/>
        <v>344.06169422506616</v>
      </c>
      <c r="E243" s="13">
        <f t="shared" si="17"/>
        <v>0</v>
      </c>
      <c r="F243" s="13">
        <f t="shared" si="18"/>
        <v>344.06169422506616</v>
      </c>
    </row>
    <row r="244" spans="1:6">
      <c r="A244" s="12">
        <v>238</v>
      </c>
      <c r="B244" s="13">
        <f t="shared" si="19"/>
        <v>344.06169422506616</v>
      </c>
      <c r="C244" s="14">
        <f t="shared" si="15"/>
        <v>0.78847471593244334</v>
      </c>
      <c r="D244" s="13">
        <f t="shared" si="16"/>
        <v>344.85016894099863</v>
      </c>
      <c r="E244" s="13">
        <f t="shared" si="17"/>
        <v>0</v>
      </c>
      <c r="F244" s="13">
        <f t="shared" si="18"/>
        <v>344.85016894099863</v>
      </c>
    </row>
    <row r="245" spans="1:6">
      <c r="A245" s="12">
        <v>239</v>
      </c>
      <c r="B245" s="13">
        <f t="shared" si="19"/>
        <v>344.85016894099863</v>
      </c>
      <c r="C245" s="14">
        <f t="shared" si="15"/>
        <v>0.79028163715645516</v>
      </c>
      <c r="D245" s="13">
        <f t="shared" si="16"/>
        <v>345.64045057815508</v>
      </c>
      <c r="E245" s="13">
        <f t="shared" si="17"/>
        <v>0</v>
      </c>
      <c r="F245" s="13">
        <f t="shared" si="18"/>
        <v>345.64045057815508</v>
      </c>
    </row>
    <row r="246" spans="1:6">
      <c r="A246" s="15">
        <v>240</v>
      </c>
      <c r="B246" s="16">
        <f t="shared" si="19"/>
        <v>345.64045057815508</v>
      </c>
      <c r="C246" s="17">
        <f t="shared" si="15"/>
        <v>0.79209269924160541</v>
      </c>
      <c r="D246" s="16">
        <f t="shared" si="16"/>
        <v>346.43254327739669</v>
      </c>
      <c r="E246" s="16">
        <f t="shared" si="17"/>
        <v>0</v>
      </c>
      <c r="F246" s="16">
        <f t="shared" si="18"/>
        <v>346.43254327739669</v>
      </c>
    </row>
    <row r="247" spans="1:6">
      <c r="A247" s="44"/>
      <c r="B247" s="45"/>
      <c r="C247" s="46"/>
      <c r="D247" s="45"/>
      <c r="E247" s="45"/>
      <c r="F247" s="45"/>
    </row>
    <row r="248" spans="1:6">
      <c r="A248" s="44"/>
      <c r="B248" s="47"/>
      <c r="C248" s="48"/>
      <c r="D248" s="47"/>
      <c r="E248" s="47"/>
      <c r="F248" s="47"/>
    </row>
    <row r="249" spans="1:6">
      <c r="A249" s="44"/>
      <c r="B249" s="47"/>
      <c r="C249" s="48"/>
      <c r="D249" s="47"/>
      <c r="E249" s="47"/>
      <c r="F249" s="47"/>
    </row>
    <row r="250" spans="1:6">
      <c r="A250" s="44"/>
      <c r="B250" s="47"/>
      <c r="C250" s="48"/>
      <c r="D250" s="47"/>
      <c r="E250" s="47"/>
      <c r="F250" s="47"/>
    </row>
    <row r="251" spans="1:6">
      <c r="A251" s="44"/>
      <c r="B251" s="47"/>
      <c r="C251" s="48"/>
      <c r="D251" s="47"/>
      <c r="E251" s="47"/>
      <c r="F251" s="47"/>
    </row>
    <row r="252" spans="1:6">
      <c r="A252" s="44"/>
      <c r="B252" s="47"/>
      <c r="C252" s="48"/>
      <c r="D252" s="47"/>
      <c r="E252" s="47"/>
      <c r="F252" s="47"/>
    </row>
    <row r="253" spans="1:6">
      <c r="A253" s="44"/>
      <c r="B253" s="47"/>
      <c r="C253" s="48"/>
      <c r="D253" s="47"/>
      <c r="E253" s="47"/>
      <c r="F253" s="47"/>
    </row>
    <row r="254" spans="1:6">
      <c r="A254" s="44"/>
      <c r="B254" s="47"/>
      <c r="C254" s="48"/>
      <c r="D254" s="47"/>
      <c r="E254" s="47"/>
      <c r="F254" s="47"/>
    </row>
    <row r="255" spans="1:6">
      <c r="A255" s="44"/>
      <c r="B255" s="47"/>
      <c r="C255" s="48"/>
      <c r="D255" s="47"/>
      <c r="E255" s="47"/>
      <c r="F255" s="47"/>
    </row>
    <row r="256" spans="1:6">
      <c r="A256" s="44"/>
      <c r="B256" s="47"/>
      <c r="C256" s="48"/>
      <c r="D256" s="47"/>
      <c r="E256" s="47"/>
      <c r="F256" s="47"/>
    </row>
    <row r="257" spans="1:6">
      <c r="A257" s="44"/>
      <c r="B257" s="47"/>
      <c r="C257" s="48"/>
      <c r="D257" s="47"/>
      <c r="E257" s="47"/>
      <c r="F257" s="47"/>
    </row>
    <row r="258" spans="1:6">
      <c r="A258" s="44"/>
      <c r="B258" s="47"/>
      <c r="C258" s="48"/>
      <c r="D258" s="47"/>
      <c r="E258" s="47"/>
      <c r="F258" s="47"/>
    </row>
    <row r="259" spans="1:6">
      <c r="A259" s="44"/>
      <c r="B259" s="47"/>
      <c r="C259" s="48"/>
      <c r="D259" s="47"/>
      <c r="E259" s="47"/>
      <c r="F259" s="47"/>
    </row>
    <row r="260" spans="1:6">
      <c r="A260" s="44"/>
      <c r="B260" s="47"/>
      <c r="C260" s="48"/>
      <c r="D260" s="47"/>
      <c r="E260" s="47"/>
      <c r="F260" s="47"/>
    </row>
    <row r="261" spans="1:6">
      <c r="A261" s="44"/>
      <c r="B261" s="47"/>
      <c r="C261" s="48"/>
      <c r="D261" s="47"/>
      <c r="E261" s="47"/>
      <c r="F261" s="47"/>
    </row>
    <row r="262" spans="1:6">
      <c r="A262" s="44"/>
      <c r="B262" s="47"/>
      <c r="C262" s="48"/>
      <c r="D262" s="47"/>
      <c r="E262" s="47"/>
      <c r="F262" s="47"/>
    </row>
    <row r="263" spans="1:6">
      <c r="A263" s="44"/>
      <c r="B263" s="47"/>
      <c r="C263" s="48"/>
      <c r="D263" s="47"/>
      <c r="E263" s="47"/>
      <c r="F263" s="47"/>
    </row>
    <row r="264" spans="1:6">
      <c r="A264" s="44"/>
      <c r="B264" s="47"/>
      <c r="C264" s="48"/>
      <c r="D264" s="47"/>
      <c r="E264" s="47"/>
      <c r="F264" s="47"/>
    </row>
    <row r="265" spans="1:6">
      <c r="A265" s="44"/>
      <c r="B265" s="47"/>
      <c r="C265" s="48"/>
      <c r="D265" s="47"/>
      <c r="E265" s="47"/>
      <c r="F265" s="47"/>
    </row>
    <row r="266" spans="1:6">
      <c r="A266" s="44"/>
      <c r="B266" s="47"/>
      <c r="C266" s="48"/>
      <c r="D266" s="47"/>
      <c r="E266" s="47"/>
      <c r="F266" s="47"/>
    </row>
    <row r="267" spans="1:6">
      <c r="A267" s="44"/>
      <c r="B267" s="47"/>
      <c r="C267" s="48"/>
      <c r="D267" s="47"/>
      <c r="E267" s="47"/>
      <c r="F267" s="47"/>
    </row>
    <row r="268" spans="1:6">
      <c r="A268" s="44"/>
      <c r="B268" s="47"/>
      <c r="C268" s="48"/>
      <c r="D268" s="47"/>
      <c r="E268" s="47"/>
      <c r="F268" s="47"/>
    </row>
    <row r="269" spans="1:6">
      <c r="A269" s="44"/>
      <c r="B269" s="47"/>
      <c r="C269" s="48"/>
      <c r="D269" s="47"/>
      <c r="E269" s="47"/>
      <c r="F269" s="47"/>
    </row>
    <row r="270" spans="1:6">
      <c r="A270" s="44"/>
      <c r="B270" s="47"/>
      <c r="C270" s="48"/>
      <c r="D270" s="47"/>
      <c r="E270" s="47"/>
      <c r="F270" s="47"/>
    </row>
    <row r="271" spans="1:6">
      <c r="A271" s="44"/>
      <c r="B271" s="47"/>
      <c r="C271" s="48"/>
      <c r="D271" s="47"/>
      <c r="E271" s="47"/>
      <c r="F271" s="47"/>
    </row>
    <row r="272" spans="1:6">
      <c r="A272" s="44"/>
      <c r="B272" s="47"/>
      <c r="C272" s="48"/>
      <c r="D272" s="47"/>
      <c r="E272" s="47"/>
      <c r="F272" s="47"/>
    </row>
    <row r="273" spans="1:6">
      <c r="A273" s="44"/>
      <c r="B273" s="47"/>
      <c r="C273" s="48"/>
      <c r="D273" s="47"/>
      <c r="E273" s="47"/>
      <c r="F273" s="47"/>
    </row>
    <row r="274" spans="1:6">
      <c r="A274" s="44"/>
      <c r="B274" s="47"/>
      <c r="C274" s="48"/>
      <c r="D274" s="47"/>
      <c r="E274" s="47"/>
      <c r="F274" s="47"/>
    </row>
    <row r="275" spans="1:6">
      <c r="A275" s="44"/>
      <c r="B275" s="47"/>
      <c r="C275" s="48"/>
      <c r="D275" s="47"/>
      <c r="E275" s="47"/>
      <c r="F275" s="47"/>
    </row>
    <row r="276" spans="1:6">
      <c r="A276" s="44"/>
      <c r="B276" s="47"/>
      <c r="C276" s="48"/>
      <c r="D276" s="47"/>
      <c r="E276" s="47"/>
      <c r="F276" s="47"/>
    </row>
    <row r="277" spans="1:6">
      <c r="A277" s="44"/>
      <c r="B277" s="47"/>
      <c r="C277" s="48"/>
      <c r="D277" s="47"/>
      <c r="E277" s="47"/>
      <c r="F277" s="47"/>
    </row>
    <row r="278" spans="1:6">
      <c r="A278" s="44"/>
      <c r="B278" s="47"/>
      <c r="C278" s="48"/>
      <c r="D278" s="47"/>
      <c r="E278" s="47"/>
      <c r="F278" s="47"/>
    </row>
    <row r="279" spans="1:6">
      <c r="A279" s="44"/>
      <c r="B279" s="47"/>
      <c r="C279" s="48"/>
      <c r="D279" s="47"/>
      <c r="E279" s="47"/>
      <c r="F279" s="47"/>
    </row>
    <row r="280" spans="1:6">
      <c r="A280" s="44"/>
      <c r="B280" s="47"/>
      <c r="C280" s="48"/>
      <c r="D280" s="47"/>
      <c r="E280" s="47"/>
      <c r="F280" s="47"/>
    </row>
    <row r="281" spans="1:6">
      <c r="A281" s="44"/>
      <c r="B281" s="47"/>
      <c r="C281" s="48"/>
      <c r="D281" s="47"/>
      <c r="E281" s="47"/>
      <c r="F281" s="47"/>
    </row>
    <row r="282" spans="1:6">
      <c r="A282" s="44"/>
      <c r="B282" s="47"/>
      <c r="C282" s="48"/>
      <c r="D282" s="47"/>
      <c r="E282" s="47"/>
      <c r="F282" s="47"/>
    </row>
    <row r="283" spans="1:6">
      <c r="A283" s="44"/>
      <c r="B283" s="47"/>
      <c r="C283" s="48"/>
      <c r="D283" s="47"/>
      <c r="E283" s="47"/>
      <c r="F283" s="47"/>
    </row>
    <row r="284" spans="1:6">
      <c r="A284" s="44"/>
      <c r="B284" s="47"/>
      <c r="C284" s="48"/>
      <c r="D284" s="47"/>
      <c r="E284" s="47"/>
      <c r="F284" s="47"/>
    </row>
    <row r="285" spans="1:6">
      <c r="A285" s="44"/>
      <c r="B285" s="47"/>
      <c r="C285" s="48"/>
      <c r="D285" s="47"/>
      <c r="E285" s="47"/>
      <c r="F285" s="47"/>
    </row>
    <row r="286" spans="1:6">
      <c r="A286" s="44"/>
      <c r="B286" s="47"/>
      <c r="C286" s="48"/>
      <c r="D286" s="47"/>
      <c r="E286" s="47"/>
      <c r="F286" s="47"/>
    </row>
    <row r="287" spans="1:6">
      <c r="A287" s="44"/>
      <c r="B287" s="47"/>
      <c r="C287" s="48"/>
      <c r="D287" s="47"/>
      <c r="E287" s="47"/>
      <c r="F287" s="47"/>
    </row>
    <row r="288" spans="1:6">
      <c r="A288" s="44"/>
      <c r="B288" s="47"/>
      <c r="C288" s="48"/>
      <c r="D288" s="47"/>
      <c r="E288" s="47"/>
      <c r="F288" s="47"/>
    </row>
    <row r="289" spans="1:6">
      <c r="A289" s="44"/>
      <c r="B289" s="47"/>
      <c r="C289" s="48"/>
      <c r="D289" s="47"/>
      <c r="E289" s="47"/>
      <c r="F289" s="47"/>
    </row>
    <row r="290" spans="1:6">
      <c r="A290" s="44"/>
      <c r="B290" s="47"/>
      <c r="C290" s="48"/>
      <c r="D290" s="47"/>
      <c r="E290" s="47"/>
      <c r="F290" s="47"/>
    </row>
    <row r="291" spans="1:6">
      <c r="A291" s="44"/>
      <c r="B291" s="47"/>
      <c r="C291" s="48"/>
      <c r="D291" s="47"/>
      <c r="E291" s="47"/>
      <c r="F291" s="47"/>
    </row>
    <row r="292" spans="1:6">
      <c r="A292" s="44"/>
      <c r="B292" s="47"/>
      <c r="C292" s="48"/>
      <c r="D292" s="47"/>
      <c r="E292" s="47"/>
      <c r="F292" s="47"/>
    </row>
    <row r="293" spans="1:6">
      <c r="A293" s="44"/>
      <c r="B293" s="47"/>
      <c r="C293" s="48"/>
      <c r="D293" s="47"/>
      <c r="E293" s="47"/>
      <c r="F293" s="47"/>
    </row>
    <row r="294" spans="1:6">
      <c r="A294" s="44"/>
      <c r="B294" s="47"/>
      <c r="C294" s="48"/>
      <c r="D294" s="47"/>
      <c r="E294" s="47"/>
      <c r="F294" s="47"/>
    </row>
    <row r="295" spans="1:6">
      <c r="A295" s="44"/>
      <c r="B295" s="47"/>
      <c r="C295" s="48"/>
      <c r="D295" s="47"/>
      <c r="E295" s="47"/>
      <c r="F295" s="47"/>
    </row>
    <row r="296" spans="1:6">
      <c r="A296" s="44"/>
      <c r="B296" s="47"/>
      <c r="C296" s="48"/>
      <c r="D296" s="47"/>
      <c r="E296" s="47"/>
      <c r="F296" s="47"/>
    </row>
    <row r="297" spans="1:6">
      <c r="A297" s="44"/>
      <c r="B297" s="47"/>
      <c r="C297" s="48"/>
      <c r="D297" s="47"/>
      <c r="E297" s="47"/>
      <c r="F297" s="47"/>
    </row>
    <row r="298" spans="1:6">
      <c r="A298" s="44"/>
      <c r="B298" s="47"/>
      <c r="C298" s="48"/>
      <c r="D298" s="47"/>
      <c r="E298" s="47"/>
      <c r="F298" s="47"/>
    </row>
    <row r="299" spans="1:6">
      <c r="A299" s="44"/>
      <c r="B299" s="47"/>
      <c r="C299" s="48"/>
      <c r="D299" s="47"/>
      <c r="E299" s="47"/>
      <c r="F299" s="47"/>
    </row>
    <row r="300" spans="1:6">
      <c r="A300" s="44"/>
      <c r="B300" s="47"/>
      <c r="C300" s="48"/>
      <c r="D300" s="47"/>
      <c r="E300" s="47"/>
      <c r="F300" s="47"/>
    </row>
    <row r="301" spans="1:6">
      <c r="A301" s="44"/>
      <c r="B301" s="47"/>
      <c r="C301" s="48"/>
      <c r="D301" s="47"/>
      <c r="E301" s="47"/>
      <c r="F301" s="47"/>
    </row>
    <row r="302" spans="1:6">
      <c r="A302" s="44"/>
      <c r="B302" s="47"/>
      <c r="C302" s="48"/>
      <c r="D302" s="47"/>
      <c r="E302" s="47"/>
      <c r="F302" s="47"/>
    </row>
    <row r="303" spans="1:6">
      <c r="A303" s="44"/>
      <c r="B303" s="47"/>
      <c r="C303" s="48"/>
      <c r="D303" s="47"/>
      <c r="E303" s="47"/>
      <c r="F303" s="47"/>
    </row>
    <row r="304" spans="1:6">
      <c r="A304" s="44"/>
      <c r="B304" s="47"/>
      <c r="C304" s="48"/>
      <c r="D304" s="47"/>
      <c r="E304" s="47"/>
      <c r="F304" s="47"/>
    </row>
    <row r="305" spans="1:6">
      <c r="A305" s="44"/>
      <c r="B305" s="47"/>
      <c r="C305" s="48"/>
      <c r="D305" s="47"/>
      <c r="E305" s="47"/>
      <c r="F305" s="47"/>
    </row>
    <row r="306" spans="1:6">
      <c r="A306" s="44"/>
      <c r="B306" s="47"/>
      <c r="C306" s="48"/>
      <c r="D306" s="47"/>
      <c r="E306" s="47"/>
      <c r="F306" s="47"/>
    </row>
    <row r="307" spans="1:6">
      <c r="A307" s="44"/>
      <c r="B307" s="47"/>
      <c r="C307" s="48"/>
      <c r="D307" s="47"/>
      <c r="E307" s="47"/>
      <c r="F307" s="47"/>
    </row>
    <row r="308" spans="1:6">
      <c r="A308" s="44"/>
      <c r="B308" s="47"/>
      <c r="C308" s="48"/>
      <c r="D308" s="47"/>
      <c r="E308" s="47"/>
      <c r="F308" s="47"/>
    </row>
    <row r="309" spans="1:6">
      <c r="A309" s="44"/>
      <c r="B309" s="47"/>
      <c r="C309" s="48"/>
      <c r="D309" s="47"/>
      <c r="E309" s="47"/>
      <c r="F309" s="47"/>
    </row>
    <row r="310" spans="1:6">
      <c r="A310" s="44"/>
      <c r="B310" s="47"/>
      <c r="C310" s="48"/>
      <c r="D310" s="47"/>
      <c r="E310" s="47"/>
      <c r="F310" s="47"/>
    </row>
    <row r="311" spans="1:6">
      <c r="A311" s="44"/>
      <c r="B311" s="47"/>
      <c r="C311" s="48"/>
      <c r="D311" s="47"/>
      <c r="E311" s="47"/>
      <c r="F311" s="47"/>
    </row>
    <row r="312" spans="1:6">
      <c r="A312" s="44"/>
      <c r="B312" s="47"/>
      <c r="C312" s="48"/>
      <c r="D312" s="47"/>
      <c r="E312" s="47"/>
      <c r="F312" s="47"/>
    </row>
    <row r="313" spans="1:6">
      <c r="A313" s="44"/>
      <c r="B313" s="47"/>
      <c r="C313" s="48"/>
      <c r="D313" s="47"/>
      <c r="E313" s="47"/>
      <c r="F313" s="47"/>
    </row>
    <row r="314" spans="1:6">
      <c r="A314" s="44"/>
      <c r="B314" s="47"/>
      <c r="C314" s="48"/>
      <c r="D314" s="47"/>
      <c r="E314" s="47"/>
      <c r="F314" s="47"/>
    </row>
    <row r="315" spans="1:6">
      <c r="A315" s="44"/>
      <c r="B315" s="47"/>
      <c r="C315" s="48"/>
      <c r="D315" s="47"/>
      <c r="E315" s="47"/>
      <c r="F315" s="47"/>
    </row>
    <row r="316" spans="1:6">
      <c r="A316" s="44"/>
      <c r="B316" s="47"/>
      <c r="C316" s="48"/>
      <c r="D316" s="47"/>
      <c r="E316" s="47"/>
      <c r="F316" s="47"/>
    </row>
    <row r="317" spans="1:6">
      <c r="A317" s="44"/>
      <c r="B317" s="47"/>
      <c r="C317" s="48"/>
      <c r="D317" s="47"/>
      <c r="E317" s="47"/>
      <c r="F317" s="47"/>
    </row>
    <row r="318" spans="1:6">
      <c r="A318" s="44"/>
      <c r="B318" s="47"/>
      <c r="C318" s="48"/>
      <c r="D318" s="47"/>
      <c r="E318" s="47"/>
      <c r="F318" s="47"/>
    </row>
    <row r="319" spans="1:6">
      <c r="A319" s="44"/>
      <c r="B319" s="47"/>
      <c r="C319" s="48"/>
      <c r="D319" s="47"/>
      <c r="E319" s="47"/>
      <c r="F319" s="47"/>
    </row>
    <row r="320" spans="1:6">
      <c r="A320" s="44"/>
      <c r="B320" s="47"/>
      <c r="C320" s="48"/>
      <c r="D320" s="47"/>
      <c r="E320" s="47"/>
      <c r="F320" s="47"/>
    </row>
    <row r="321" spans="1:6">
      <c r="A321" s="44"/>
      <c r="B321" s="47"/>
      <c r="C321" s="48"/>
      <c r="D321" s="47"/>
      <c r="E321" s="47"/>
      <c r="F321" s="47"/>
    </row>
    <row r="322" spans="1:6">
      <c r="A322" s="44"/>
      <c r="B322" s="47"/>
      <c r="C322" s="48"/>
      <c r="D322" s="47"/>
      <c r="E322" s="47"/>
      <c r="F322" s="47"/>
    </row>
    <row r="323" spans="1:6">
      <c r="A323" s="44"/>
      <c r="B323" s="47"/>
      <c r="C323" s="48"/>
      <c r="D323" s="47"/>
      <c r="E323" s="47"/>
      <c r="F323" s="47"/>
    </row>
    <row r="324" spans="1:6">
      <c r="A324" s="44"/>
      <c r="B324" s="47"/>
      <c r="C324" s="48"/>
      <c r="D324" s="47"/>
      <c r="E324" s="47"/>
      <c r="F324" s="47"/>
    </row>
    <row r="325" spans="1:6">
      <c r="A325" s="44"/>
      <c r="B325" s="47"/>
      <c r="C325" s="48"/>
      <c r="D325" s="47"/>
      <c r="E325" s="47"/>
      <c r="F325" s="47"/>
    </row>
    <row r="326" spans="1:6">
      <c r="A326" s="44"/>
      <c r="B326" s="47"/>
      <c r="C326" s="48"/>
      <c r="D326" s="47"/>
      <c r="E326" s="47"/>
      <c r="F326" s="47"/>
    </row>
    <row r="327" spans="1:6">
      <c r="A327" s="44"/>
      <c r="B327" s="47"/>
      <c r="C327" s="48"/>
      <c r="D327" s="47"/>
      <c r="E327" s="47"/>
      <c r="F327" s="47"/>
    </row>
    <row r="328" spans="1:6">
      <c r="A328" s="44"/>
      <c r="B328" s="47"/>
      <c r="C328" s="48"/>
      <c r="D328" s="47"/>
      <c r="E328" s="47"/>
      <c r="F328" s="47"/>
    </row>
    <row r="329" spans="1:6">
      <c r="A329" s="44"/>
      <c r="B329" s="47"/>
      <c r="C329" s="48"/>
      <c r="D329" s="47"/>
      <c r="E329" s="47"/>
      <c r="F329" s="47"/>
    </row>
    <row r="330" spans="1:6">
      <c r="A330" s="44"/>
      <c r="B330" s="47"/>
      <c r="C330" s="48"/>
      <c r="D330" s="47"/>
      <c r="E330" s="47"/>
      <c r="F330" s="47"/>
    </row>
    <row r="331" spans="1:6">
      <c r="A331" s="44"/>
      <c r="B331" s="47"/>
      <c r="C331" s="48"/>
      <c r="D331" s="47"/>
      <c r="E331" s="47"/>
      <c r="F331" s="47"/>
    </row>
    <row r="332" spans="1:6">
      <c r="A332" s="44"/>
      <c r="B332" s="47"/>
      <c r="C332" s="48"/>
      <c r="D332" s="47"/>
      <c r="E332" s="47"/>
      <c r="F332" s="47"/>
    </row>
    <row r="333" spans="1:6">
      <c r="A333" s="44"/>
      <c r="B333" s="47"/>
      <c r="C333" s="48"/>
      <c r="D333" s="47"/>
      <c r="E333" s="47"/>
      <c r="F333" s="47"/>
    </row>
    <row r="334" spans="1:6">
      <c r="A334" s="44"/>
      <c r="B334" s="47"/>
      <c r="C334" s="48"/>
      <c r="D334" s="47"/>
      <c r="E334" s="47"/>
      <c r="F334" s="47"/>
    </row>
    <row r="335" spans="1:6">
      <c r="A335" s="44"/>
      <c r="B335" s="47"/>
      <c r="C335" s="48"/>
      <c r="D335" s="47"/>
      <c r="E335" s="47"/>
      <c r="F335" s="47"/>
    </row>
    <row r="336" spans="1:6">
      <c r="A336" s="44"/>
      <c r="B336" s="47"/>
      <c r="C336" s="48"/>
      <c r="D336" s="47"/>
      <c r="E336" s="47"/>
      <c r="F336" s="47"/>
    </row>
    <row r="337" spans="1:6">
      <c r="A337" s="44"/>
      <c r="B337" s="47"/>
      <c r="C337" s="48"/>
      <c r="D337" s="47"/>
      <c r="E337" s="47"/>
      <c r="F337" s="47"/>
    </row>
    <row r="338" spans="1:6">
      <c r="A338" s="44"/>
      <c r="B338" s="47"/>
      <c r="C338" s="48"/>
      <c r="D338" s="47"/>
      <c r="E338" s="47"/>
      <c r="F338" s="47"/>
    </row>
    <row r="339" spans="1:6">
      <c r="A339" s="44"/>
      <c r="B339" s="47"/>
      <c r="C339" s="48"/>
      <c r="D339" s="47"/>
      <c r="E339" s="47"/>
      <c r="F339" s="47"/>
    </row>
    <row r="340" spans="1:6">
      <c r="A340" s="44"/>
      <c r="B340" s="47"/>
      <c r="C340" s="48"/>
      <c r="D340" s="47"/>
      <c r="E340" s="47"/>
      <c r="F340" s="47"/>
    </row>
    <row r="341" spans="1:6">
      <c r="A341" s="44"/>
      <c r="B341" s="47"/>
      <c r="C341" s="48"/>
      <c r="D341" s="47"/>
      <c r="E341" s="47"/>
      <c r="F341" s="47"/>
    </row>
    <row r="342" spans="1:6">
      <c r="A342" s="44"/>
      <c r="B342" s="47"/>
      <c r="C342" s="48"/>
      <c r="D342" s="47"/>
      <c r="E342" s="47"/>
      <c r="F342" s="47"/>
    </row>
    <row r="343" spans="1:6">
      <c r="A343" s="44"/>
      <c r="B343" s="47"/>
      <c r="C343" s="48"/>
      <c r="D343" s="47"/>
      <c r="E343" s="47"/>
      <c r="F343" s="47"/>
    </row>
    <row r="344" spans="1:6">
      <c r="A344" s="44"/>
      <c r="B344" s="47"/>
      <c r="C344" s="48"/>
      <c r="D344" s="47"/>
      <c r="E344" s="47"/>
      <c r="F344" s="47"/>
    </row>
    <row r="345" spans="1:6">
      <c r="A345" s="44"/>
      <c r="B345" s="47"/>
      <c r="C345" s="48"/>
      <c r="D345" s="47"/>
      <c r="E345" s="47"/>
      <c r="F345" s="47"/>
    </row>
    <row r="346" spans="1:6">
      <c r="A346" s="44"/>
      <c r="B346" s="47"/>
      <c r="C346" s="48"/>
      <c r="D346" s="47"/>
      <c r="E346" s="47"/>
      <c r="F346" s="47"/>
    </row>
    <row r="347" spans="1:6">
      <c r="A347" s="44"/>
      <c r="B347" s="47"/>
      <c r="C347" s="48"/>
      <c r="D347" s="47"/>
      <c r="E347" s="47"/>
      <c r="F347" s="47"/>
    </row>
    <row r="348" spans="1:6">
      <c r="A348" s="44"/>
      <c r="B348" s="47"/>
      <c r="C348" s="48"/>
      <c r="D348" s="47"/>
      <c r="E348" s="47"/>
      <c r="F348" s="47"/>
    </row>
    <row r="349" spans="1:6">
      <c r="A349" s="44"/>
      <c r="B349" s="47"/>
      <c r="C349" s="48"/>
      <c r="D349" s="47"/>
      <c r="E349" s="47"/>
      <c r="F349" s="47"/>
    </row>
    <row r="350" spans="1:6">
      <c r="A350" s="44"/>
      <c r="B350" s="47"/>
      <c r="C350" s="48"/>
      <c r="D350" s="47"/>
      <c r="E350" s="47"/>
      <c r="F350" s="47"/>
    </row>
    <row r="351" spans="1:6">
      <c r="A351" s="44"/>
      <c r="B351" s="47"/>
      <c r="C351" s="48"/>
      <c r="D351" s="47"/>
      <c r="E351" s="47"/>
      <c r="F351" s="47"/>
    </row>
    <row r="352" spans="1:6">
      <c r="A352" s="44"/>
      <c r="B352" s="47"/>
      <c r="C352" s="48"/>
      <c r="D352" s="47"/>
      <c r="E352" s="47"/>
      <c r="F352" s="47"/>
    </row>
    <row r="353" spans="1:6">
      <c r="A353" s="44"/>
      <c r="B353" s="47"/>
      <c r="C353" s="48"/>
      <c r="D353" s="47"/>
      <c r="E353" s="47"/>
      <c r="F353" s="47"/>
    </row>
    <row r="354" spans="1:6">
      <c r="A354" s="44"/>
      <c r="B354" s="47"/>
      <c r="C354" s="48"/>
      <c r="D354" s="47"/>
      <c r="E354" s="47"/>
      <c r="F354" s="47"/>
    </row>
    <row r="355" spans="1:6">
      <c r="A355" s="44"/>
      <c r="B355" s="47"/>
      <c r="C355" s="48"/>
      <c r="D355" s="47"/>
      <c r="E355" s="47"/>
      <c r="F355" s="47"/>
    </row>
    <row r="356" spans="1:6">
      <c r="A356" s="44"/>
      <c r="B356" s="47"/>
      <c r="C356" s="48"/>
      <c r="D356" s="47"/>
      <c r="E356" s="47"/>
      <c r="F356" s="47"/>
    </row>
    <row r="357" spans="1:6">
      <c r="A357" s="44"/>
      <c r="B357" s="47"/>
      <c r="C357" s="48"/>
      <c r="D357" s="47"/>
      <c r="E357" s="47"/>
      <c r="F357" s="47"/>
    </row>
    <row r="358" spans="1:6">
      <c r="A358" s="44"/>
      <c r="B358" s="47"/>
      <c r="C358" s="48"/>
      <c r="D358" s="47"/>
      <c r="E358" s="47"/>
      <c r="F358" s="47"/>
    </row>
    <row r="359" spans="1:6">
      <c r="A359" s="44"/>
      <c r="B359" s="47"/>
      <c r="C359" s="48"/>
      <c r="D359" s="47"/>
      <c r="E359" s="47"/>
      <c r="F359" s="47"/>
    </row>
    <row r="360" spans="1:6">
      <c r="A360" s="44"/>
      <c r="B360" s="47"/>
      <c r="C360" s="48"/>
      <c r="D360" s="47"/>
      <c r="E360" s="47"/>
      <c r="F360" s="47"/>
    </row>
    <row r="361" spans="1:6">
      <c r="A361" s="44"/>
      <c r="B361" s="47"/>
      <c r="C361" s="48"/>
      <c r="D361" s="47"/>
      <c r="E361" s="47"/>
      <c r="F361" s="47"/>
    </row>
    <row r="362" spans="1:6">
      <c r="A362" s="44"/>
      <c r="B362" s="47"/>
      <c r="C362" s="48"/>
      <c r="D362" s="47"/>
      <c r="E362" s="47"/>
      <c r="F362" s="47"/>
    </row>
    <row r="363" spans="1:6">
      <c r="A363" s="44"/>
      <c r="B363" s="47"/>
      <c r="C363" s="48"/>
      <c r="D363" s="47"/>
      <c r="E363" s="47"/>
      <c r="F363" s="47"/>
    </row>
    <row r="364" spans="1:6">
      <c r="A364" s="44"/>
      <c r="B364" s="47"/>
      <c r="C364" s="48"/>
      <c r="D364" s="47"/>
      <c r="E364" s="47"/>
      <c r="F364" s="47"/>
    </row>
    <row r="365" spans="1:6">
      <c r="A365" s="44"/>
      <c r="B365" s="47"/>
      <c r="C365" s="48"/>
      <c r="D365" s="47"/>
      <c r="E365" s="47"/>
      <c r="F365" s="47"/>
    </row>
    <row r="366" spans="1:6">
      <c r="A366" s="44"/>
      <c r="B366" s="47"/>
      <c r="C366" s="48"/>
      <c r="D366" s="47"/>
      <c r="E366" s="47"/>
      <c r="F366" s="47"/>
    </row>
    <row r="367" spans="1:6">
      <c r="A367" s="44"/>
      <c r="B367" s="47"/>
      <c r="C367" s="48"/>
      <c r="D367" s="47"/>
      <c r="E367" s="47"/>
      <c r="F367" s="47"/>
    </row>
    <row r="368" spans="1:6">
      <c r="A368" s="44"/>
      <c r="B368" s="47"/>
      <c r="C368" s="48"/>
      <c r="D368" s="47"/>
      <c r="E368" s="47"/>
      <c r="F368" s="47"/>
    </row>
    <row r="369" spans="1:6">
      <c r="A369" s="44"/>
      <c r="B369" s="47"/>
      <c r="C369" s="48"/>
      <c r="D369" s="47"/>
      <c r="E369" s="47"/>
      <c r="F369" s="47"/>
    </row>
    <row r="370" spans="1:6">
      <c r="A370" s="44"/>
      <c r="B370" s="47"/>
      <c r="C370" s="48"/>
      <c r="D370" s="47"/>
      <c r="E370" s="47"/>
      <c r="F370" s="47"/>
    </row>
    <row r="371" spans="1:6">
      <c r="A371" s="44"/>
      <c r="B371" s="47"/>
      <c r="C371" s="48"/>
      <c r="D371" s="47"/>
      <c r="E371" s="47"/>
      <c r="F371" s="47"/>
    </row>
    <row r="372" spans="1:6">
      <c r="A372" s="44"/>
      <c r="B372" s="47"/>
      <c r="C372" s="48"/>
      <c r="D372" s="47"/>
      <c r="E372" s="47"/>
      <c r="F372" s="47"/>
    </row>
    <row r="373" spans="1:6">
      <c r="A373" s="44"/>
      <c r="B373" s="47"/>
      <c r="C373" s="48"/>
      <c r="D373" s="47"/>
      <c r="E373" s="47"/>
      <c r="F373" s="47"/>
    </row>
    <row r="374" spans="1:6">
      <c r="A374" s="44"/>
      <c r="B374" s="47"/>
      <c r="C374" s="48"/>
      <c r="D374" s="47"/>
      <c r="E374" s="47"/>
      <c r="F374" s="47"/>
    </row>
    <row r="375" spans="1:6">
      <c r="A375" s="44"/>
      <c r="B375" s="47"/>
      <c r="C375" s="48"/>
      <c r="D375" s="47"/>
      <c r="E375" s="47"/>
      <c r="F375" s="47"/>
    </row>
    <row r="376" spans="1:6">
      <c r="A376" s="44"/>
      <c r="B376" s="47"/>
      <c r="C376" s="48"/>
      <c r="D376" s="47"/>
      <c r="E376" s="47"/>
      <c r="F376" s="47"/>
    </row>
    <row r="377" spans="1:6">
      <c r="A377" s="44"/>
      <c r="B377" s="47"/>
      <c r="C377" s="48"/>
      <c r="D377" s="47"/>
      <c r="E377" s="47"/>
      <c r="F377" s="47"/>
    </row>
    <row r="378" spans="1:6">
      <c r="A378" s="44"/>
      <c r="B378" s="47"/>
      <c r="C378" s="48"/>
      <c r="D378" s="47"/>
      <c r="E378" s="47"/>
      <c r="F378" s="47"/>
    </row>
    <row r="379" spans="1:6">
      <c r="A379" s="44"/>
      <c r="B379" s="47"/>
      <c r="C379" s="48"/>
      <c r="D379" s="47"/>
      <c r="E379" s="47"/>
      <c r="F379" s="47"/>
    </row>
    <row r="380" spans="1:6">
      <c r="A380" s="44"/>
      <c r="B380" s="47"/>
      <c r="C380" s="48"/>
      <c r="D380" s="47"/>
      <c r="E380" s="47"/>
      <c r="F380" s="47"/>
    </row>
    <row r="381" spans="1:6">
      <c r="A381" s="44"/>
      <c r="B381" s="47"/>
      <c r="C381" s="48"/>
      <c r="D381" s="47"/>
      <c r="E381" s="47"/>
      <c r="F381" s="47"/>
    </row>
    <row r="382" spans="1:6">
      <c r="A382" s="44"/>
      <c r="B382" s="47"/>
      <c r="C382" s="48"/>
      <c r="D382" s="47"/>
      <c r="E382" s="47"/>
      <c r="F382" s="47"/>
    </row>
    <row r="383" spans="1:6">
      <c r="A383" s="44"/>
      <c r="B383" s="47"/>
      <c r="C383" s="48"/>
      <c r="D383" s="47"/>
      <c r="E383" s="47"/>
      <c r="F383" s="47"/>
    </row>
    <row r="384" spans="1:6">
      <c r="A384" s="44"/>
      <c r="B384" s="47"/>
      <c r="C384" s="48"/>
      <c r="D384" s="47"/>
      <c r="E384" s="47"/>
      <c r="F384" s="47"/>
    </row>
    <row r="385" spans="1:6">
      <c r="A385" s="44"/>
      <c r="B385" s="47"/>
      <c r="C385" s="48"/>
      <c r="D385" s="47"/>
      <c r="E385" s="47"/>
      <c r="F385" s="47"/>
    </row>
    <row r="386" spans="1:6">
      <c r="A386" s="44"/>
      <c r="B386" s="47"/>
      <c r="C386" s="48"/>
      <c r="D386" s="47"/>
      <c r="E386" s="47"/>
      <c r="F386" s="47"/>
    </row>
    <row r="387" spans="1:6">
      <c r="A387" s="44"/>
      <c r="B387" s="47"/>
      <c r="C387" s="48"/>
      <c r="D387" s="47"/>
      <c r="E387" s="47"/>
      <c r="F387" s="47"/>
    </row>
    <row r="388" spans="1:6">
      <c r="A388" s="44"/>
      <c r="B388" s="47"/>
      <c r="C388" s="48"/>
      <c r="D388" s="47"/>
      <c r="E388" s="47"/>
      <c r="F388" s="47"/>
    </row>
    <row r="389" spans="1:6">
      <c r="A389" s="44"/>
      <c r="B389" s="47"/>
      <c r="C389" s="48"/>
      <c r="D389" s="47"/>
      <c r="E389" s="47"/>
      <c r="F389" s="47"/>
    </row>
    <row r="390" spans="1:6">
      <c r="A390" s="44"/>
      <c r="B390" s="47"/>
      <c r="C390" s="48"/>
      <c r="D390" s="47"/>
      <c r="E390" s="47"/>
      <c r="F390" s="47"/>
    </row>
    <row r="391" spans="1:6">
      <c r="A391" s="44"/>
      <c r="B391" s="47"/>
      <c r="C391" s="48"/>
      <c r="D391" s="47"/>
      <c r="E391" s="47"/>
      <c r="F391" s="47"/>
    </row>
    <row r="392" spans="1:6">
      <c r="A392" s="44"/>
      <c r="B392" s="47"/>
      <c r="C392" s="48"/>
      <c r="D392" s="47"/>
      <c r="E392" s="47"/>
      <c r="F392" s="47"/>
    </row>
    <row r="393" spans="1:6">
      <c r="A393" s="44"/>
      <c r="B393" s="47"/>
      <c r="C393" s="48"/>
      <c r="D393" s="47"/>
      <c r="E393" s="47"/>
      <c r="F393" s="47"/>
    </row>
    <row r="394" spans="1:6">
      <c r="A394" s="44"/>
      <c r="B394" s="47"/>
      <c r="C394" s="48"/>
      <c r="D394" s="47"/>
      <c r="E394" s="47"/>
      <c r="F394" s="47"/>
    </row>
    <row r="395" spans="1:6">
      <c r="A395" s="44"/>
      <c r="B395" s="47"/>
      <c r="C395" s="48"/>
      <c r="D395" s="47"/>
      <c r="E395" s="47"/>
      <c r="F395" s="47"/>
    </row>
    <row r="396" spans="1:6">
      <c r="A396" s="44"/>
      <c r="B396" s="47"/>
      <c r="C396" s="48"/>
      <c r="D396" s="47"/>
      <c r="E396" s="47"/>
      <c r="F396" s="47"/>
    </row>
    <row r="397" spans="1:6">
      <c r="A397" s="44"/>
      <c r="B397" s="47"/>
      <c r="C397" s="48"/>
      <c r="D397" s="47"/>
      <c r="E397" s="47"/>
      <c r="F397" s="47"/>
    </row>
    <row r="398" spans="1:6">
      <c r="A398" s="44"/>
      <c r="B398" s="47"/>
      <c r="C398" s="48"/>
      <c r="D398" s="47"/>
      <c r="E398" s="47"/>
      <c r="F398" s="47"/>
    </row>
    <row r="399" spans="1:6">
      <c r="A399" s="44"/>
      <c r="B399" s="47"/>
      <c r="C399" s="48"/>
      <c r="D399" s="47"/>
      <c r="E399" s="47"/>
      <c r="F399" s="47"/>
    </row>
    <row r="400" spans="1:6">
      <c r="A400" s="44"/>
      <c r="B400" s="47"/>
      <c r="C400" s="48"/>
      <c r="D400" s="47"/>
      <c r="E400" s="47"/>
      <c r="F400" s="47"/>
    </row>
    <row r="401" spans="1:6">
      <c r="A401" s="44"/>
      <c r="B401" s="47"/>
      <c r="C401" s="48"/>
      <c r="D401" s="47"/>
      <c r="E401" s="47"/>
      <c r="F401" s="47"/>
    </row>
    <row r="402" spans="1:6">
      <c r="A402" s="44"/>
      <c r="B402" s="47"/>
      <c r="C402" s="48"/>
      <c r="D402" s="47"/>
      <c r="E402" s="47"/>
      <c r="F402" s="47"/>
    </row>
    <row r="403" spans="1:6">
      <c r="A403" s="44"/>
      <c r="B403" s="47"/>
      <c r="C403" s="48"/>
      <c r="D403" s="47"/>
      <c r="E403" s="47"/>
      <c r="F403" s="47"/>
    </row>
    <row r="404" spans="1:6">
      <c r="A404" s="44"/>
      <c r="B404" s="47"/>
      <c r="C404" s="48"/>
      <c r="D404" s="47"/>
      <c r="E404" s="47"/>
      <c r="F404" s="47"/>
    </row>
    <row r="405" spans="1:6">
      <c r="A405" s="44"/>
      <c r="B405" s="47"/>
      <c r="C405" s="48"/>
      <c r="D405" s="47"/>
      <c r="E405" s="47"/>
      <c r="F405" s="47"/>
    </row>
    <row r="406" spans="1:6">
      <c r="A406" s="44"/>
      <c r="B406" s="47"/>
      <c r="C406" s="48"/>
      <c r="D406" s="47"/>
      <c r="E406" s="47"/>
      <c r="F406" s="47"/>
    </row>
    <row r="407" spans="1:6">
      <c r="A407" s="44"/>
      <c r="B407" s="47"/>
      <c r="C407" s="48"/>
      <c r="D407" s="47"/>
      <c r="E407" s="47"/>
      <c r="F407" s="47"/>
    </row>
    <row r="408" spans="1:6">
      <c r="A408" s="44"/>
      <c r="B408" s="47"/>
      <c r="C408" s="48"/>
      <c r="D408" s="47"/>
      <c r="E408" s="47"/>
      <c r="F408" s="47"/>
    </row>
    <row r="409" spans="1:6">
      <c r="A409" s="44"/>
      <c r="B409" s="47"/>
      <c r="C409" s="48"/>
      <c r="D409" s="47"/>
      <c r="E409" s="47"/>
      <c r="F409" s="47"/>
    </row>
    <row r="410" spans="1:6">
      <c r="A410" s="44"/>
      <c r="B410" s="47"/>
      <c r="C410" s="48"/>
      <c r="D410" s="47"/>
      <c r="E410" s="47"/>
      <c r="F410" s="47"/>
    </row>
    <row r="411" spans="1:6">
      <c r="A411" s="44"/>
      <c r="B411" s="47"/>
      <c r="C411" s="48"/>
      <c r="D411" s="47"/>
      <c r="E411" s="47"/>
      <c r="F411" s="47"/>
    </row>
    <row r="412" spans="1:6">
      <c r="A412" s="44"/>
      <c r="B412" s="47"/>
      <c r="C412" s="48"/>
      <c r="D412" s="47"/>
      <c r="E412" s="47"/>
      <c r="F412" s="47"/>
    </row>
    <row r="413" spans="1:6">
      <c r="A413" s="44"/>
      <c r="B413" s="47"/>
      <c r="C413" s="48"/>
      <c r="D413" s="47"/>
      <c r="E413" s="47"/>
      <c r="F413" s="47"/>
    </row>
    <row r="414" spans="1:6">
      <c r="A414" s="44"/>
      <c r="B414" s="47"/>
      <c r="C414" s="48"/>
      <c r="D414" s="47"/>
      <c r="E414" s="47"/>
      <c r="F414" s="47"/>
    </row>
    <row r="415" spans="1:6">
      <c r="A415" s="44"/>
      <c r="B415" s="47"/>
      <c r="C415" s="48"/>
      <c r="D415" s="47"/>
      <c r="E415" s="47"/>
      <c r="F415" s="47"/>
    </row>
    <row r="416" spans="1:6">
      <c r="A416" s="44"/>
      <c r="B416" s="47"/>
      <c r="C416" s="48"/>
      <c r="D416" s="47"/>
      <c r="E416" s="47"/>
      <c r="F416" s="47"/>
    </row>
    <row r="417" spans="1:6">
      <c r="A417" s="44"/>
      <c r="B417" s="47"/>
      <c r="C417" s="48"/>
      <c r="D417" s="47"/>
      <c r="E417" s="47"/>
      <c r="F417" s="47"/>
    </row>
    <row r="418" spans="1:6">
      <c r="A418" s="44"/>
      <c r="B418" s="47"/>
      <c r="C418" s="48"/>
      <c r="D418" s="47"/>
      <c r="E418" s="47"/>
      <c r="F418" s="47"/>
    </row>
    <row r="419" spans="1:6">
      <c r="A419" s="44"/>
      <c r="B419" s="47"/>
      <c r="C419" s="48"/>
      <c r="D419" s="47"/>
      <c r="E419" s="47"/>
      <c r="F419" s="47"/>
    </row>
    <row r="420" spans="1:6">
      <c r="A420" s="44"/>
      <c r="B420" s="47"/>
      <c r="C420" s="48"/>
      <c r="D420" s="47"/>
      <c r="E420" s="47"/>
      <c r="F420" s="47"/>
    </row>
    <row r="421" spans="1:6">
      <c r="A421" s="44"/>
      <c r="B421" s="47"/>
      <c r="C421" s="48"/>
      <c r="D421" s="47"/>
      <c r="E421" s="47"/>
      <c r="F421" s="47"/>
    </row>
    <row r="422" spans="1:6">
      <c r="A422" s="44"/>
      <c r="B422" s="47"/>
      <c r="C422" s="48"/>
      <c r="D422" s="47"/>
      <c r="E422" s="47"/>
      <c r="F422" s="47"/>
    </row>
    <row r="423" spans="1:6">
      <c r="A423" s="44"/>
      <c r="B423" s="47"/>
      <c r="C423" s="48"/>
      <c r="D423" s="47"/>
      <c r="E423" s="47"/>
      <c r="F423" s="47"/>
    </row>
    <row r="424" spans="1:6">
      <c r="A424" s="44"/>
      <c r="B424" s="47"/>
      <c r="C424" s="48"/>
      <c r="D424" s="47"/>
      <c r="E424" s="47"/>
      <c r="F424" s="47"/>
    </row>
    <row r="425" spans="1:6">
      <c r="A425" s="44"/>
      <c r="B425" s="47"/>
      <c r="C425" s="48"/>
      <c r="D425" s="47"/>
      <c r="E425" s="47"/>
      <c r="F425" s="47"/>
    </row>
    <row r="426" spans="1:6">
      <c r="A426" s="44"/>
      <c r="B426" s="47"/>
      <c r="C426" s="48"/>
      <c r="D426" s="47"/>
      <c r="E426" s="47"/>
      <c r="F426" s="47"/>
    </row>
    <row r="427" spans="1:6">
      <c r="A427" s="44"/>
      <c r="B427" s="47"/>
      <c r="C427" s="48"/>
      <c r="D427" s="47"/>
      <c r="E427" s="47"/>
      <c r="F427" s="47"/>
    </row>
    <row r="428" spans="1:6">
      <c r="A428" s="44"/>
      <c r="B428" s="47"/>
      <c r="C428" s="48"/>
      <c r="D428" s="47"/>
      <c r="E428" s="47"/>
      <c r="F428" s="47"/>
    </row>
    <row r="429" spans="1:6">
      <c r="A429" s="44"/>
      <c r="B429" s="47"/>
      <c r="C429" s="48"/>
      <c r="D429" s="47"/>
      <c r="E429" s="47"/>
      <c r="F429" s="47"/>
    </row>
    <row r="430" spans="1:6">
      <c r="A430" s="44"/>
      <c r="B430" s="47"/>
      <c r="C430" s="48"/>
      <c r="D430" s="47"/>
      <c r="E430" s="47"/>
      <c r="F430" s="47"/>
    </row>
    <row r="431" spans="1:6">
      <c r="A431" s="44"/>
      <c r="B431" s="47"/>
      <c r="C431" s="48"/>
      <c r="D431" s="47"/>
      <c r="E431" s="47"/>
      <c r="F431" s="47"/>
    </row>
    <row r="432" spans="1:6">
      <c r="A432" s="44"/>
      <c r="B432" s="47"/>
      <c r="C432" s="48"/>
      <c r="D432" s="47"/>
      <c r="E432" s="47"/>
      <c r="F432" s="47"/>
    </row>
    <row r="433" spans="1:6">
      <c r="A433" s="44"/>
      <c r="B433" s="47"/>
      <c r="C433" s="48"/>
      <c r="D433" s="47"/>
      <c r="E433" s="47"/>
      <c r="F433" s="47"/>
    </row>
    <row r="434" spans="1:6">
      <c r="A434" s="44"/>
      <c r="B434" s="47"/>
      <c r="C434" s="48"/>
      <c r="D434" s="47"/>
      <c r="E434" s="47"/>
      <c r="F434" s="47"/>
    </row>
    <row r="435" spans="1:6">
      <c r="A435" s="44"/>
      <c r="B435" s="47"/>
      <c r="C435" s="48"/>
      <c r="D435" s="47"/>
      <c r="E435" s="47"/>
      <c r="F435" s="47"/>
    </row>
    <row r="436" spans="1:6">
      <c r="A436" s="44"/>
      <c r="B436" s="47"/>
      <c r="C436" s="48"/>
      <c r="D436" s="47"/>
      <c r="E436" s="47"/>
      <c r="F436" s="47"/>
    </row>
    <row r="437" spans="1:6">
      <c r="A437" s="44"/>
      <c r="B437" s="47"/>
      <c r="C437" s="48"/>
      <c r="D437" s="47"/>
      <c r="E437" s="47"/>
      <c r="F437" s="47"/>
    </row>
    <row r="438" spans="1:6">
      <c r="A438" s="44"/>
      <c r="B438" s="47"/>
      <c r="C438" s="48"/>
      <c r="D438" s="47"/>
      <c r="E438" s="47"/>
      <c r="F438" s="47"/>
    </row>
    <row r="439" spans="1:6">
      <c r="A439" s="44"/>
      <c r="B439" s="47"/>
      <c r="C439" s="48"/>
      <c r="D439" s="47"/>
      <c r="E439" s="47"/>
      <c r="F439" s="47"/>
    </row>
    <row r="440" spans="1:6">
      <c r="A440" s="44"/>
      <c r="B440" s="47"/>
      <c r="C440" s="48"/>
      <c r="D440" s="47"/>
      <c r="E440" s="47"/>
      <c r="F440" s="47"/>
    </row>
    <row r="441" spans="1:6">
      <c r="A441" s="44"/>
      <c r="B441" s="47"/>
      <c r="C441" s="48"/>
      <c r="D441" s="47"/>
      <c r="E441" s="47"/>
      <c r="F441" s="47"/>
    </row>
    <row r="442" spans="1:6">
      <c r="A442" s="44"/>
      <c r="B442" s="47"/>
      <c r="C442" s="48"/>
      <c r="D442" s="47"/>
      <c r="E442" s="47"/>
      <c r="F442" s="47"/>
    </row>
    <row r="443" spans="1:6">
      <c r="A443" s="44"/>
      <c r="B443" s="47"/>
      <c r="C443" s="48"/>
      <c r="D443" s="47"/>
      <c r="E443" s="47"/>
      <c r="F443" s="47"/>
    </row>
    <row r="444" spans="1:6">
      <c r="A444" s="44"/>
      <c r="B444" s="47"/>
      <c r="C444" s="48"/>
      <c r="D444" s="47"/>
      <c r="E444" s="47"/>
      <c r="F444" s="47"/>
    </row>
    <row r="445" spans="1:6">
      <c r="A445" s="44"/>
      <c r="B445" s="47"/>
      <c r="C445" s="48"/>
      <c r="D445" s="47"/>
      <c r="E445" s="47"/>
      <c r="F445" s="47"/>
    </row>
    <row r="446" spans="1:6">
      <c r="A446" s="44"/>
      <c r="B446" s="47"/>
      <c r="C446" s="48"/>
      <c r="D446" s="47"/>
      <c r="E446" s="47"/>
      <c r="F446" s="47"/>
    </row>
    <row r="447" spans="1:6">
      <c r="A447" s="44"/>
      <c r="B447" s="47"/>
      <c r="C447" s="48"/>
      <c r="D447" s="47"/>
      <c r="E447" s="47"/>
      <c r="F447" s="47"/>
    </row>
    <row r="448" spans="1:6">
      <c r="A448" s="44"/>
      <c r="B448" s="47"/>
      <c r="C448" s="48"/>
      <c r="D448" s="47"/>
      <c r="E448" s="47"/>
      <c r="F448" s="47"/>
    </row>
    <row r="449" spans="1:6">
      <c r="A449" s="44"/>
      <c r="B449" s="47"/>
      <c r="C449" s="48"/>
      <c r="D449" s="47"/>
      <c r="E449" s="47"/>
      <c r="F449" s="47"/>
    </row>
    <row r="450" spans="1:6">
      <c r="A450" s="44"/>
      <c r="B450" s="47"/>
      <c r="C450" s="48"/>
      <c r="D450" s="47"/>
      <c r="E450" s="47"/>
      <c r="F450" s="47"/>
    </row>
    <row r="451" spans="1:6">
      <c r="A451" s="44"/>
      <c r="B451" s="47"/>
      <c r="C451" s="48"/>
      <c r="D451" s="47"/>
      <c r="E451" s="47"/>
      <c r="F451" s="47"/>
    </row>
    <row r="452" spans="1:6">
      <c r="A452" s="44"/>
      <c r="B452" s="47"/>
      <c r="C452" s="48"/>
      <c r="D452" s="47"/>
      <c r="E452" s="47"/>
      <c r="F452" s="47"/>
    </row>
    <row r="453" spans="1:6">
      <c r="A453" s="44"/>
      <c r="B453" s="47"/>
      <c r="C453" s="48"/>
      <c r="D453" s="47"/>
      <c r="E453" s="47"/>
      <c r="F453" s="47"/>
    </row>
    <row r="454" spans="1:6">
      <c r="A454" s="44"/>
      <c r="B454" s="47"/>
      <c r="C454" s="48"/>
      <c r="D454" s="47"/>
      <c r="E454" s="47"/>
      <c r="F454" s="47"/>
    </row>
    <row r="455" spans="1:6">
      <c r="A455" s="44"/>
      <c r="B455" s="47"/>
      <c r="C455" s="48"/>
      <c r="D455" s="47"/>
      <c r="E455" s="47"/>
      <c r="F455" s="47"/>
    </row>
    <row r="456" spans="1:6">
      <c r="A456" s="44"/>
      <c r="B456" s="47"/>
      <c r="C456" s="48"/>
      <c r="D456" s="47"/>
      <c r="E456" s="47"/>
      <c r="F456" s="47"/>
    </row>
    <row r="457" spans="1:6">
      <c r="A457" s="44"/>
      <c r="B457" s="47"/>
      <c r="C457" s="48"/>
      <c r="D457" s="47"/>
      <c r="E457" s="47"/>
      <c r="F457" s="47"/>
    </row>
    <row r="458" spans="1:6">
      <c r="A458" s="44"/>
      <c r="B458" s="47"/>
      <c r="C458" s="48"/>
      <c r="D458" s="47"/>
      <c r="E458" s="47"/>
      <c r="F458" s="47"/>
    </row>
    <row r="459" spans="1:6">
      <c r="A459" s="44"/>
      <c r="B459" s="47"/>
      <c r="C459" s="48"/>
      <c r="D459" s="47"/>
      <c r="E459" s="47"/>
      <c r="F459" s="47"/>
    </row>
    <row r="460" spans="1:6">
      <c r="A460" s="44"/>
      <c r="B460" s="47"/>
      <c r="C460" s="48"/>
      <c r="D460" s="47"/>
      <c r="E460" s="47"/>
      <c r="F460" s="47"/>
    </row>
    <row r="461" spans="1:6">
      <c r="A461" s="44"/>
      <c r="B461" s="47"/>
      <c r="C461" s="48"/>
      <c r="D461" s="47"/>
      <c r="E461" s="47"/>
      <c r="F461" s="47"/>
    </row>
    <row r="462" spans="1:6">
      <c r="A462" s="44"/>
      <c r="B462" s="47"/>
      <c r="C462" s="48"/>
      <c r="D462" s="47"/>
      <c r="E462" s="47"/>
      <c r="F462" s="47"/>
    </row>
    <row r="463" spans="1:6">
      <c r="A463" s="44"/>
      <c r="B463" s="47"/>
      <c r="C463" s="48"/>
      <c r="D463" s="47"/>
      <c r="E463" s="47"/>
      <c r="F463" s="47"/>
    </row>
    <row r="464" spans="1:6">
      <c r="A464" s="44"/>
      <c r="B464" s="47"/>
      <c r="C464" s="48"/>
      <c r="D464" s="47"/>
      <c r="E464" s="47"/>
      <c r="F464" s="47"/>
    </row>
    <row r="465" spans="1:6">
      <c r="A465" s="44"/>
      <c r="B465" s="47"/>
      <c r="C465" s="48"/>
      <c r="D465" s="47"/>
      <c r="E465" s="47"/>
      <c r="F465" s="47"/>
    </row>
    <row r="466" spans="1:6">
      <c r="A466" s="44"/>
      <c r="B466" s="47"/>
      <c r="C466" s="48"/>
      <c r="D466" s="47"/>
      <c r="E466" s="47"/>
      <c r="F466" s="47"/>
    </row>
    <row r="467" spans="1:6">
      <c r="A467" s="44"/>
      <c r="B467" s="47"/>
      <c r="C467" s="48"/>
      <c r="D467" s="47"/>
      <c r="E467" s="47"/>
      <c r="F467" s="47"/>
    </row>
    <row r="468" spans="1:6">
      <c r="A468" s="44"/>
      <c r="B468" s="47"/>
      <c r="C468" s="48"/>
      <c r="D468" s="47"/>
      <c r="E468" s="47"/>
      <c r="F468" s="47"/>
    </row>
    <row r="469" spans="1:6">
      <c r="A469" s="44"/>
      <c r="B469" s="47"/>
      <c r="C469" s="48"/>
      <c r="D469" s="47"/>
      <c r="E469" s="47"/>
      <c r="F469" s="47"/>
    </row>
    <row r="470" spans="1:6">
      <c r="A470" s="44"/>
      <c r="B470" s="47"/>
      <c r="C470" s="48"/>
      <c r="D470" s="47"/>
      <c r="E470" s="47"/>
      <c r="F470" s="47"/>
    </row>
    <row r="471" spans="1:6">
      <c r="A471" s="44"/>
      <c r="B471" s="47"/>
      <c r="C471" s="48"/>
      <c r="D471" s="47"/>
      <c r="E471" s="47"/>
      <c r="F471" s="47"/>
    </row>
    <row r="472" spans="1:6">
      <c r="A472" s="44"/>
      <c r="B472" s="47"/>
      <c r="C472" s="48"/>
      <c r="D472" s="47"/>
      <c r="E472" s="47"/>
      <c r="F472" s="47"/>
    </row>
    <row r="473" spans="1:6">
      <c r="A473" s="44"/>
      <c r="B473" s="47"/>
      <c r="C473" s="48"/>
      <c r="D473" s="47"/>
      <c r="E473" s="47"/>
      <c r="F473" s="47"/>
    </row>
    <row r="474" spans="1:6">
      <c r="A474" s="44"/>
      <c r="B474" s="47"/>
      <c r="C474" s="48"/>
      <c r="D474" s="47"/>
      <c r="E474" s="47"/>
      <c r="F474" s="47"/>
    </row>
    <row r="475" spans="1:6">
      <c r="A475" s="44"/>
      <c r="B475" s="47"/>
      <c r="C475" s="48"/>
      <c r="D475" s="47"/>
      <c r="E475" s="47"/>
      <c r="F475" s="47"/>
    </row>
    <row r="476" spans="1:6">
      <c r="A476" s="44"/>
      <c r="B476" s="47"/>
      <c r="C476" s="48"/>
      <c r="D476" s="47"/>
      <c r="E476" s="47"/>
      <c r="F476" s="47"/>
    </row>
    <row r="477" spans="1:6">
      <c r="A477" s="44"/>
      <c r="B477" s="47"/>
      <c r="C477" s="48"/>
      <c r="D477" s="47"/>
      <c r="E477" s="47"/>
      <c r="F477" s="47"/>
    </row>
    <row r="478" spans="1:6">
      <c r="A478" s="44"/>
      <c r="B478" s="47"/>
      <c r="C478" s="48"/>
      <c r="D478" s="47"/>
      <c r="E478" s="47"/>
      <c r="F478" s="47"/>
    </row>
    <row r="479" spans="1:6">
      <c r="A479" s="44"/>
      <c r="B479" s="47"/>
      <c r="C479" s="48"/>
      <c r="D479" s="47"/>
      <c r="E479" s="47"/>
      <c r="F479" s="47"/>
    </row>
    <row r="480" spans="1:6">
      <c r="A480" s="44"/>
      <c r="B480" s="47"/>
      <c r="C480" s="48"/>
      <c r="D480" s="47"/>
      <c r="E480" s="47"/>
      <c r="F480" s="47"/>
    </row>
    <row r="481" spans="1:6">
      <c r="A481" s="44"/>
      <c r="B481" s="47"/>
      <c r="C481" s="48"/>
      <c r="D481" s="47"/>
      <c r="E481" s="47"/>
      <c r="F481" s="47"/>
    </row>
    <row r="482" spans="1:6">
      <c r="A482" s="44"/>
      <c r="B482" s="47"/>
      <c r="C482" s="48"/>
      <c r="D482" s="47"/>
      <c r="E482" s="47"/>
      <c r="F482" s="47"/>
    </row>
    <row r="483" spans="1:6">
      <c r="A483" s="44"/>
      <c r="B483" s="47"/>
      <c r="C483" s="48"/>
      <c r="D483" s="47"/>
      <c r="E483" s="47"/>
      <c r="F483" s="47"/>
    </row>
    <row r="484" spans="1:6">
      <c r="A484" s="44"/>
      <c r="B484" s="47"/>
      <c r="C484" s="48"/>
      <c r="D484" s="47"/>
      <c r="E484" s="47"/>
      <c r="F484" s="47"/>
    </row>
    <row r="485" spans="1:6">
      <c r="A485" s="44"/>
      <c r="B485" s="47"/>
      <c r="C485" s="48"/>
      <c r="D485" s="47"/>
      <c r="E485" s="47"/>
      <c r="F485" s="47"/>
    </row>
    <row r="486" spans="1:6">
      <c r="A486" s="44"/>
      <c r="B486" s="47"/>
      <c r="C486" s="48"/>
      <c r="D486" s="47"/>
      <c r="E486" s="47"/>
      <c r="F486" s="47"/>
    </row>
    <row r="487" spans="1:6">
      <c r="A487" s="44"/>
      <c r="B487" s="47"/>
      <c r="C487" s="48"/>
      <c r="D487" s="47"/>
      <c r="E487" s="47"/>
      <c r="F487" s="47"/>
    </row>
    <row r="488" spans="1:6">
      <c r="A488" s="44"/>
      <c r="B488" s="47"/>
      <c r="C488" s="48"/>
      <c r="D488" s="47"/>
      <c r="E488" s="47"/>
      <c r="F488" s="47"/>
    </row>
    <row r="489" spans="1:6">
      <c r="A489" s="44"/>
      <c r="B489" s="47"/>
      <c r="C489" s="48"/>
      <c r="D489" s="47"/>
      <c r="E489" s="47"/>
      <c r="F489" s="47"/>
    </row>
    <row r="490" spans="1:6">
      <c r="A490" s="44"/>
      <c r="B490" s="47"/>
      <c r="C490" s="48"/>
      <c r="D490" s="47"/>
      <c r="E490" s="47"/>
      <c r="F490" s="47"/>
    </row>
    <row r="491" spans="1:6">
      <c r="A491" s="44"/>
      <c r="B491" s="47"/>
      <c r="C491" s="48"/>
      <c r="D491" s="47"/>
      <c r="E491" s="47"/>
      <c r="F491" s="47"/>
    </row>
    <row r="492" spans="1:6">
      <c r="A492" s="44"/>
      <c r="B492" s="47"/>
      <c r="C492" s="48"/>
      <c r="D492" s="47"/>
      <c r="E492" s="47"/>
      <c r="F492" s="47"/>
    </row>
    <row r="493" spans="1:6">
      <c r="A493" s="44"/>
      <c r="B493" s="47"/>
      <c r="C493" s="48"/>
      <c r="D493" s="47"/>
      <c r="E493" s="47"/>
      <c r="F493" s="47"/>
    </row>
    <row r="494" spans="1:6">
      <c r="A494" s="44"/>
      <c r="B494" s="47"/>
      <c r="C494" s="48"/>
      <c r="D494" s="47"/>
      <c r="E494" s="47"/>
      <c r="F494" s="47"/>
    </row>
    <row r="495" spans="1:6">
      <c r="A495" s="44"/>
      <c r="B495" s="47"/>
      <c r="C495" s="48"/>
      <c r="D495" s="47"/>
      <c r="E495" s="47"/>
      <c r="F495" s="47"/>
    </row>
    <row r="496" spans="1:6">
      <c r="A496" s="44"/>
      <c r="B496" s="47"/>
      <c r="C496" s="48"/>
      <c r="D496" s="47"/>
      <c r="E496" s="47"/>
      <c r="F496" s="47"/>
    </row>
    <row r="497" spans="1:6">
      <c r="A497" s="44"/>
      <c r="B497" s="47"/>
      <c r="C497" s="48"/>
      <c r="D497" s="47"/>
      <c r="E497" s="47"/>
      <c r="F497" s="47"/>
    </row>
    <row r="498" spans="1:6">
      <c r="A498" s="44"/>
      <c r="B498" s="47"/>
      <c r="C498" s="48"/>
      <c r="D498" s="47"/>
      <c r="E498" s="47"/>
      <c r="F498" s="47"/>
    </row>
    <row r="499" spans="1:6">
      <c r="A499" s="44"/>
      <c r="B499" s="47"/>
      <c r="C499" s="48"/>
      <c r="D499" s="47"/>
      <c r="E499" s="47"/>
      <c r="F499" s="47"/>
    </row>
    <row r="500" spans="1:6">
      <c r="A500" s="44"/>
      <c r="B500" s="47"/>
      <c r="C500" s="48"/>
      <c r="D500" s="47"/>
      <c r="E500" s="47"/>
      <c r="F500" s="47"/>
    </row>
    <row r="501" spans="1:6">
      <c r="A501" s="44"/>
      <c r="B501" s="47"/>
      <c r="C501" s="48"/>
      <c r="D501" s="47"/>
      <c r="E501" s="47"/>
      <c r="F501" s="47"/>
    </row>
    <row r="502" spans="1:6">
      <c r="A502" s="44"/>
      <c r="B502" s="47"/>
      <c r="C502" s="48"/>
      <c r="D502" s="47"/>
      <c r="E502" s="47"/>
      <c r="F502" s="47"/>
    </row>
    <row r="503" spans="1:6">
      <c r="A503" s="44"/>
      <c r="B503" s="47"/>
      <c r="C503" s="48"/>
      <c r="D503" s="47"/>
      <c r="E503" s="47"/>
      <c r="F503" s="47"/>
    </row>
    <row r="504" spans="1:6">
      <c r="A504" s="44"/>
      <c r="B504" s="47"/>
      <c r="C504" s="48"/>
      <c r="D504" s="47"/>
      <c r="E504" s="47"/>
      <c r="F504" s="47"/>
    </row>
    <row r="505" spans="1:6">
      <c r="A505" s="44"/>
      <c r="B505" s="47"/>
      <c r="C505" s="48"/>
      <c r="D505" s="47"/>
      <c r="E505" s="47"/>
      <c r="F505" s="47"/>
    </row>
    <row r="506" spans="1:6">
      <c r="A506" s="44"/>
      <c r="B506" s="47"/>
      <c r="C506" s="48"/>
      <c r="D506" s="47"/>
      <c r="E506" s="47"/>
      <c r="F506" s="47"/>
    </row>
    <row r="507" spans="1:6">
      <c r="A507" s="44"/>
      <c r="B507" s="47"/>
      <c r="C507" s="48"/>
      <c r="D507" s="47"/>
      <c r="E507" s="47"/>
      <c r="F507" s="47"/>
    </row>
    <row r="508" spans="1:6">
      <c r="A508" s="44"/>
      <c r="B508" s="47"/>
      <c r="C508" s="48"/>
      <c r="D508" s="47"/>
      <c r="E508" s="47"/>
      <c r="F508" s="47"/>
    </row>
    <row r="509" spans="1:6">
      <c r="A509" s="44"/>
      <c r="B509" s="47"/>
      <c r="C509" s="48"/>
      <c r="D509" s="47"/>
      <c r="E509" s="47"/>
      <c r="F509" s="47"/>
    </row>
    <row r="510" spans="1:6">
      <c r="A510" s="44"/>
      <c r="B510" s="47"/>
      <c r="C510" s="48"/>
      <c r="D510" s="47"/>
      <c r="E510" s="47"/>
      <c r="F510" s="47"/>
    </row>
    <row r="511" spans="1:6">
      <c r="A511" s="44"/>
      <c r="B511" s="47"/>
      <c r="C511" s="48"/>
      <c r="D511" s="47"/>
      <c r="E511" s="47"/>
      <c r="F511" s="47"/>
    </row>
    <row r="512" spans="1:6">
      <c r="A512" s="44"/>
      <c r="B512" s="47"/>
      <c r="C512" s="48"/>
      <c r="D512" s="47"/>
      <c r="E512" s="47"/>
      <c r="F512" s="47"/>
    </row>
    <row r="513" spans="1:6">
      <c r="A513" s="44"/>
      <c r="B513" s="47"/>
      <c r="C513" s="48"/>
      <c r="D513" s="47"/>
      <c r="E513" s="47"/>
      <c r="F513" s="47"/>
    </row>
    <row r="514" spans="1:6">
      <c r="A514" s="44"/>
      <c r="B514" s="47"/>
      <c r="C514" s="48"/>
      <c r="D514" s="47"/>
      <c r="E514" s="47"/>
      <c r="F514" s="47"/>
    </row>
    <row r="515" spans="1:6">
      <c r="A515" s="44"/>
      <c r="B515" s="47"/>
      <c r="C515" s="48"/>
      <c r="D515" s="47"/>
      <c r="E515" s="47"/>
      <c r="F515" s="47"/>
    </row>
    <row r="516" spans="1:6">
      <c r="A516" s="44"/>
      <c r="B516" s="47"/>
      <c r="C516" s="48"/>
      <c r="D516" s="47"/>
      <c r="E516" s="47"/>
      <c r="F516" s="47"/>
    </row>
    <row r="517" spans="1:6">
      <c r="A517" s="44"/>
      <c r="B517" s="47"/>
      <c r="C517" s="48"/>
      <c r="D517" s="47"/>
      <c r="E517" s="47"/>
      <c r="F517" s="47"/>
    </row>
    <row r="518" spans="1:6">
      <c r="A518" s="44"/>
      <c r="B518" s="47"/>
      <c r="C518" s="48"/>
      <c r="D518" s="47"/>
      <c r="E518" s="47"/>
      <c r="F518" s="47"/>
    </row>
    <row r="519" spans="1:6">
      <c r="A519" s="44"/>
      <c r="B519" s="47"/>
      <c r="C519" s="48"/>
      <c r="D519" s="47"/>
      <c r="E519" s="47"/>
      <c r="F519" s="47"/>
    </row>
    <row r="520" spans="1:6">
      <c r="A520" s="44"/>
      <c r="B520" s="47"/>
      <c r="C520" s="48"/>
      <c r="D520" s="47"/>
      <c r="E520" s="47"/>
      <c r="F520" s="47"/>
    </row>
    <row r="521" spans="1:6">
      <c r="A521" s="44"/>
      <c r="B521" s="47"/>
      <c r="C521" s="48"/>
      <c r="D521" s="47"/>
      <c r="E521" s="47"/>
      <c r="F521" s="47"/>
    </row>
    <row r="522" spans="1:6">
      <c r="A522" s="44"/>
      <c r="B522" s="47"/>
      <c r="C522" s="48"/>
      <c r="D522" s="47"/>
      <c r="E522" s="47"/>
      <c r="F522" s="47"/>
    </row>
    <row r="523" spans="1:6">
      <c r="A523" s="44"/>
      <c r="B523" s="47"/>
      <c r="C523" s="48"/>
      <c r="D523" s="47"/>
      <c r="E523" s="47"/>
      <c r="F523" s="47"/>
    </row>
    <row r="524" spans="1:6">
      <c r="A524" s="44"/>
      <c r="B524" s="47"/>
      <c r="C524" s="48"/>
      <c r="D524" s="47"/>
      <c r="E524" s="47"/>
      <c r="F524" s="47"/>
    </row>
    <row r="525" spans="1:6">
      <c r="A525" s="44"/>
      <c r="B525" s="47"/>
      <c r="C525" s="48"/>
      <c r="D525" s="47"/>
      <c r="E525" s="47"/>
      <c r="F525" s="47"/>
    </row>
    <row r="526" spans="1:6">
      <c r="A526" s="44"/>
      <c r="B526" s="47"/>
      <c r="C526" s="48"/>
      <c r="D526" s="47"/>
      <c r="E526" s="47"/>
      <c r="F526" s="47"/>
    </row>
    <row r="527" spans="1:6">
      <c r="A527" s="44"/>
      <c r="B527" s="47"/>
      <c r="C527" s="48"/>
      <c r="D527" s="47"/>
      <c r="E527" s="47"/>
      <c r="F527" s="47"/>
    </row>
    <row r="528" spans="1:6">
      <c r="A528" s="44"/>
      <c r="B528" s="47"/>
      <c r="C528" s="48"/>
      <c r="D528" s="47"/>
      <c r="E528" s="47"/>
      <c r="F528" s="47"/>
    </row>
    <row r="529" spans="1:6">
      <c r="A529" s="44"/>
      <c r="B529" s="47"/>
      <c r="C529" s="48"/>
      <c r="D529" s="47"/>
      <c r="E529" s="47"/>
      <c r="F529" s="47"/>
    </row>
    <row r="530" spans="1:6">
      <c r="A530" s="44"/>
      <c r="B530" s="47"/>
      <c r="C530" s="48"/>
      <c r="D530" s="47"/>
      <c r="E530" s="47"/>
      <c r="F530" s="47"/>
    </row>
    <row r="531" spans="1:6">
      <c r="A531" s="44"/>
      <c r="B531" s="47"/>
      <c r="C531" s="48"/>
      <c r="D531" s="47"/>
      <c r="E531" s="47"/>
      <c r="F531" s="47"/>
    </row>
    <row r="532" spans="1:6">
      <c r="A532" s="44"/>
      <c r="B532" s="47"/>
      <c r="C532" s="48"/>
      <c r="D532" s="47"/>
      <c r="E532" s="47"/>
      <c r="F532" s="47"/>
    </row>
    <row r="533" spans="1:6">
      <c r="A533" s="44"/>
      <c r="B533" s="47"/>
      <c r="C533" s="48"/>
      <c r="D533" s="47"/>
      <c r="E533" s="47"/>
      <c r="F533" s="47"/>
    </row>
    <row r="534" spans="1:6">
      <c r="A534" s="44"/>
      <c r="B534" s="47"/>
      <c r="C534" s="48"/>
      <c r="D534" s="47"/>
      <c r="E534" s="47"/>
      <c r="F534" s="47"/>
    </row>
    <row r="535" spans="1:6">
      <c r="A535" s="44"/>
      <c r="B535" s="47"/>
      <c r="C535" s="48"/>
      <c r="D535" s="47"/>
      <c r="E535" s="47"/>
      <c r="F535" s="47"/>
    </row>
    <row r="536" spans="1:6">
      <c r="A536" s="44"/>
      <c r="B536" s="47"/>
      <c r="C536" s="48"/>
      <c r="D536" s="47"/>
      <c r="E536" s="47"/>
      <c r="F536" s="47"/>
    </row>
    <row r="537" spans="1:6">
      <c r="A537" s="44"/>
      <c r="B537" s="47"/>
      <c r="C537" s="48"/>
      <c r="D537" s="47"/>
      <c r="E537" s="47"/>
      <c r="F537" s="47"/>
    </row>
    <row r="538" spans="1:6">
      <c r="A538" s="44"/>
      <c r="B538" s="47"/>
      <c r="C538" s="48"/>
      <c r="D538" s="47"/>
      <c r="E538" s="47"/>
      <c r="F538" s="47"/>
    </row>
    <row r="539" spans="1:6">
      <c r="A539" s="44"/>
      <c r="B539" s="47"/>
      <c r="C539" s="48"/>
      <c r="D539" s="47"/>
      <c r="E539" s="47"/>
      <c r="F539" s="47"/>
    </row>
    <row r="540" spans="1:6">
      <c r="A540" s="44"/>
      <c r="B540" s="47"/>
      <c r="C540" s="48"/>
      <c r="D540" s="47"/>
      <c r="E540" s="47"/>
      <c r="F540" s="47"/>
    </row>
    <row r="541" spans="1:6">
      <c r="A541" s="44"/>
      <c r="B541" s="47"/>
      <c r="C541" s="48"/>
      <c r="D541" s="47"/>
      <c r="E541" s="47"/>
      <c r="F541" s="47"/>
    </row>
    <row r="542" spans="1:6">
      <c r="A542" s="44"/>
      <c r="B542" s="47"/>
      <c r="C542" s="48"/>
      <c r="D542" s="47"/>
      <c r="E542" s="47"/>
      <c r="F542" s="47"/>
    </row>
    <row r="543" spans="1:6">
      <c r="A543" s="44"/>
      <c r="B543" s="47"/>
      <c r="C543" s="48"/>
      <c r="D543" s="47"/>
      <c r="E543" s="47"/>
      <c r="F543" s="47"/>
    </row>
    <row r="544" spans="1:6">
      <c r="A544" s="44"/>
      <c r="B544" s="47"/>
      <c r="C544" s="48"/>
      <c r="D544" s="47"/>
      <c r="E544" s="47"/>
      <c r="F544" s="47"/>
    </row>
    <row r="545" spans="1:6">
      <c r="A545" s="44"/>
      <c r="B545" s="47"/>
      <c r="C545" s="48"/>
      <c r="D545" s="47"/>
      <c r="E545" s="47"/>
      <c r="F545" s="47"/>
    </row>
    <row r="546" spans="1:6">
      <c r="A546" s="44"/>
      <c r="B546" s="47"/>
      <c r="C546" s="48"/>
      <c r="D546" s="47"/>
      <c r="E546" s="47"/>
      <c r="F546" s="47"/>
    </row>
    <row r="547" spans="1:6">
      <c r="A547" s="44"/>
      <c r="B547" s="47"/>
      <c r="C547" s="48"/>
      <c r="D547" s="47"/>
      <c r="E547" s="47"/>
      <c r="F547" s="47"/>
    </row>
    <row r="548" spans="1:6">
      <c r="A548" s="44"/>
      <c r="B548" s="47"/>
      <c r="C548" s="48"/>
      <c r="D548" s="47"/>
      <c r="E548" s="47"/>
      <c r="F548" s="47"/>
    </row>
    <row r="549" spans="1:6">
      <c r="A549" s="44"/>
      <c r="B549" s="47"/>
      <c r="C549" s="48"/>
      <c r="D549" s="47"/>
      <c r="E549" s="47"/>
      <c r="F549" s="47"/>
    </row>
    <row r="550" spans="1:6">
      <c r="A550" s="44"/>
      <c r="B550" s="47"/>
      <c r="C550" s="48"/>
      <c r="D550" s="47"/>
      <c r="E550" s="47"/>
      <c r="F550" s="47"/>
    </row>
    <row r="551" spans="1:6">
      <c r="A551" s="44"/>
      <c r="B551" s="47"/>
      <c r="C551" s="48"/>
      <c r="D551" s="47"/>
      <c r="E551" s="47"/>
      <c r="F551" s="47"/>
    </row>
    <row r="552" spans="1:6">
      <c r="A552" s="44"/>
      <c r="B552" s="47"/>
      <c r="C552" s="48"/>
      <c r="D552" s="47"/>
      <c r="E552" s="47"/>
      <c r="F552" s="47"/>
    </row>
    <row r="553" spans="1:6">
      <c r="A553" s="44"/>
      <c r="B553" s="47"/>
      <c r="C553" s="48"/>
      <c r="D553" s="47"/>
      <c r="E553" s="47"/>
      <c r="F553" s="47"/>
    </row>
    <row r="554" spans="1:6">
      <c r="A554" s="44"/>
      <c r="B554" s="47"/>
      <c r="C554" s="48"/>
      <c r="D554" s="47"/>
      <c r="E554" s="47"/>
      <c r="F554" s="47"/>
    </row>
    <row r="555" spans="1:6">
      <c r="A555" s="44"/>
      <c r="B555" s="47"/>
      <c r="C555" s="48"/>
      <c r="D555" s="47"/>
      <c r="E555" s="47"/>
      <c r="F555" s="47"/>
    </row>
    <row r="556" spans="1:6">
      <c r="A556" s="44"/>
      <c r="B556" s="47"/>
      <c r="C556" s="48"/>
      <c r="D556" s="47"/>
      <c r="E556" s="47"/>
      <c r="F556" s="47"/>
    </row>
    <row r="557" spans="1:6">
      <c r="A557" s="44"/>
      <c r="B557" s="47"/>
      <c r="C557" s="48"/>
      <c r="D557" s="47"/>
      <c r="E557" s="47"/>
      <c r="F557" s="47"/>
    </row>
    <row r="558" spans="1:6">
      <c r="A558" s="44"/>
      <c r="B558" s="47"/>
      <c r="C558" s="48"/>
      <c r="D558" s="47"/>
      <c r="E558" s="47"/>
      <c r="F558" s="47"/>
    </row>
    <row r="559" spans="1:6">
      <c r="A559" s="44"/>
      <c r="B559" s="47"/>
      <c r="C559" s="48"/>
      <c r="D559" s="47"/>
      <c r="E559" s="47"/>
      <c r="F559" s="47"/>
    </row>
    <row r="560" spans="1:6">
      <c r="A560" s="44"/>
      <c r="B560" s="47"/>
      <c r="C560" s="48"/>
      <c r="D560" s="47"/>
      <c r="E560" s="47"/>
      <c r="F560" s="47"/>
    </row>
    <row r="561" spans="1:6">
      <c r="A561" s="44"/>
      <c r="B561" s="47"/>
      <c r="C561" s="48"/>
      <c r="D561" s="47"/>
      <c r="E561" s="47"/>
      <c r="F561" s="47"/>
    </row>
    <row r="562" spans="1:6">
      <c r="A562" s="44"/>
      <c r="B562" s="47"/>
      <c r="C562" s="48"/>
      <c r="D562" s="47"/>
      <c r="E562" s="47"/>
      <c r="F562" s="47"/>
    </row>
    <row r="563" spans="1:6">
      <c r="A563" s="44"/>
      <c r="B563" s="47"/>
      <c r="C563" s="48"/>
      <c r="D563" s="47"/>
      <c r="E563" s="47"/>
      <c r="F563" s="47"/>
    </row>
    <row r="564" spans="1:6">
      <c r="A564" s="44"/>
      <c r="B564" s="47"/>
      <c r="C564" s="48"/>
      <c r="D564" s="47"/>
      <c r="E564" s="47"/>
      <c r="F564" s="47"/>
    </row>
    <row r="565" spans="1:6">
      <c r="A565" s="44"/>
      <c r="B565" s="47"/>
      <c r="C565" s="48"/>
      <c r="D565" s="47"/>
      <c r="E565" s="47"/>
      <c r="F565" s="47"/>
    </row>
    <row r="566" spans="1:6">
      <c r="A566" s="44"/>
      <c r="B566" s="47"/>
      <c r="C566" s="48"/>
      <c r="D566" s="47"/>
      <c r="E566" s="47"/>
      <c r="F566" s="47"/>
    </row>
    <row r="567" spans="1:6">
      <c r="A567" s="44"/>
      <c r="B567" s="47"/>
      <c r="C567" s="48"/>
      <c r="D567" s="47"/>
      <c r="E567" s="47"/>
      <c r="F567" s="47"/>
    </row>
    <row r="568" spans="1:6">
      <c r="A568" s="44"/>
      <c r="B568" s="47"/>
      <c r="C568" s="48"/>
      <c r="D568" s="47"/>
      <c r="E568" s="47"/>
      <c r="F568" s="47"/>
    </row>
    <row r="569" spans="1:6">
      <c r="A569" s="44"/>
      <c r="B569" s="47"/>
      <c r="C569" s="48"/>
      <c r="D569" s="47"/>
      <c r="E569" s="47"/>
      <c r="F569" s="47"/>
    </row>
    <row r="570" spans="1:6">
      <c r="A570" s="44"/>
      <c r="B570" s="47"/>
      <c r="C570" s="48"/>
      <c r="D570" s="47"/>
      <c r="E570" s="47"/>
      <c r="F570" s="47"/>
    </row>
    <row r="571" spans="1:6">
      <c r="A571" s="44"/>
      <c r="B571" s="47"/>
      <c r="C571" s="48"/>
      <c r="D571" s="47"/>
      <c r="E571" s="47"/>
      <c r="F571" s="47"/>
    </row>
    <row r="572" spans="1:6">
      <c r="A572" s="44"/>
      <c r="B572" s="47"/>
      <c r="C572" s="48"/>
      <c r="D572" s="47"/>
      <c r="E572" s="47"/>
      <c r="F572" s="47"/>
    </row>
    <row r="573" spans="1:6">
      <c r="A573" s="44"/>
      <c r="B573" s="47"/>
      <c r="C573" s="48"/>
      <c r="D573" s="47"/>
      <c r="E573" s="47"/>
      <c r="F573" s="47"/>
    </row>
    <row r="574" spans="1:6">
      <c r="A574" s="44"/>
      <c r="B574" s="47"/>
      <c r="C574" s="48"/>
      <c r="D574" s="47"/>
      <c r="E574" s="47"/>
      <c r="F574" s="47"/>
    </row>
    <row r="575" spans="1:6">
      <c r="A575" s="44"/>
      <c r="B575" s="47"/>
      <c r="C575" s="48"/>
      <c r="D575" s="47"/>
      <c r="E575" s="47"/>
      <c r="F575" s="47"/>
    </row>
    <row r="576" spans="1:6">
      <c r="A576" s="44"/>
      <c r="B576" s="47"/>
      <c r="C576" s="48"/>
      <c r="D576" s="47"/>
      <c r="E576" s="47"/>
      <c r="F576" s="47"/>
    </row>
    <row r="577" spans="1:6">
      <c r="A577" s="44"/>
      <c r="B577" s="47"/>
      <c r="C577" s="48"/>
      <c r="D577" s="47"/>
      <c r="E577" s="47"/>
      <c r="F577" s="47"/>
    </row>
    <row r="578" spans="1:6">
      <c r="A578" s="44"/>
      <c r="B578" s="47"/>
      <c r="C578" s="48"/>
      <c r="D578" s="47"/>
      <c r="E578" s="47"/>
      <c r="F578" s="47"/>
    </row>
    <row r="579" spans="1:6">
      <c r="A579" s="44"/>
      <c r="B579" s="47"/>
      <c r="C579" s="48"/>
      <c r="D579" s="47"/>
      <c r="E579" s="47"/>
      <c r="F579" s="47"/>
    </row>
    <row r="580" spans="1:6">
      <c r="A580" s="44"/>
      <c r="B580" s="47"/>
      <c r="C580" s="48"/>
      <c r="D580" s="47"/>
      <c r="E580" s="47"/>
      <c r="F580" s="47"/>
    </row>
    <row r="581" spans="1:6">
      <c r="A581" s="44"/>
      <c r="B581" s="47"/>
      <c r="C581" s="48"/>
      <c r="D581" s="47"/>
      <c r="E581" s="47"/>
      <c r="F581" s="47"/>
    </row>
    <row r="582" spans="1:6">
      <c r="A582" s="44"/>
      <c r="B582" s="47"/>
      <c r="C582" s="48"/>
      <c r="D582" s="47"/>
      <c r="E582" s="47"/>
      <c r="F582" s="47"/>
    </row>
    <row r="583" spans="1:6">
      <c r="A583" s="44"/>
      <c r="B583" s="47"/>
      <c r="C583" s="48"/>
      <c r="D583" s="47"/>
      <c r="E583" s="47"/>
      <c r="F583" s="47"/>
    </row>
    <row r="584" spans="1:6">
      <c r="A584" s="44"/>
      <c r="B584" s="47"/>
      <c r="C584" s="48"/>
      <c r="D584" s="47"/>
      <c r="E584" s="47"/>
      <c r="F584" s="47"/>
    </row>
    <row r="585" spans="1:6">
      <c r="A585" s="44"/>
      <c r="B585" s="47"/>
      <c r="C585" s="48"/>
      <c r="D585" s="47"/>
      <c r="E585" s="47"/>
      <c r="F585" s="47"/>
    </row>
    <row r="586" spans="1:6">
      <c r="A586" s="44"/>
      <c r="B586" s="47"/>
      <c r="C586" s="48"/>
      <c r="D586" s="47"/>
      <c r="E586" s="47"/>
      <c r="F586" s="47"/>
    </row>
    <row r="587" spans="1:6">
      <c r="A587" s="44"/>
      <c r="B587" s="47"/>
      <c r="C587" s="48"/>
      <c r="D587" s="47"/>
      <c r="E587" s="47"/>
      <c r="F587" s="47"/>
    </row>
    <row r="588" spans="1:6">
      <c r="A588" s="44"/>
      <c r="B588" s="47"/>
      <c r="C588" s="48"/>
      <c r="D588" s="47"/>
      <c r="E588" s="47"/>
      <c r="F588" s="47"/>
    </row>
    <row r="589" spans="1:6">
      <c r="A589" s="44"/>
      <c r="B589" s="47"/>
      <c r="C589" s="48"/>
      <c r="D589" s="47"/>
      <c r="E589" s="47"/>
      <c r="F589" s="47"/>
    </row>
    <row r="590" spans="1:6">
      <c r="A590" s="44"/>
      <c r="B590" s="47"/>
      <c r="C590" s="48"/>
      <c r="D590" s="47"/>
      <c r="E590" s="47"/>
      <c r="F590" s="47"/>
    </row>
    <row r="591" spans="1:6">
      <c r="A591" s="44"/>
      <c r="B591" s="47"/>
      <c r="C591" s="48"/>
      <c r="D591" s="47"/>
      <c r="E591" s="47"/>
      <c r="F591" s="47"/>
    </row>
    <row r="592" spans="1:6">
      <c r="A592" s="44"/>
      <c r="B592" s="47"/>
      <c r="C592" s="48"/>
      <c r="D592" s="47"/>
      <c r="E592" s="47"/>
      <c r="F592" s="47"/>
    </row>
    <row r="593" spans="1:6">
      <c r="A593" s="44"/>
      <c r="B593" s="47"/>
      <c r="C593" s="48"/>
      <c r="D593" s="47"/>
      <c r="E593" s="47"/>
      <c r="F593" s="47"/>
    </row>
    <row r="594" spans="1:6">
      <c r="A594" s="44"/>
      <c r="B594" s="47"/>
      <c r="C594" s="48"/>
      <c r="D594" s="47"/>
      <c r="E594" s="47"/>
      <c r="F594" s="47"/>
    </row>
    <row r="595" spans="1:6">
      <c r="A595" s="44"/>
      <c r="B595" s="47"/>
      <c r="C595" s="48"/>
      <c r="D595" s="47"/>
      <c r="E595" s="47"/>
      <c r="F595" s="47"/>
    </row>
    <row r="596" spans="1:6">
      <c r="A596" s="44"/>
      <c r="B596" s="47"/>
      <c r="C596" s="48"/>
      <c r="D596" s="47"/>
      <c r="E596" s="47"/>
      <c r="F596" s="47"/>
    </row>
    <row r="597" spans="1:6">
      <c r="A597" s="44"/>
      <c r="B597" s="47"/>
      <c r="C597" s="48"/>
      <c r="D597" s="47"/>
      <c r="E597" s="47"/>
      <c r="F597" s="47"/>
    </row>
    <row r="598" spans="1:6">
      <c r="A598" s="44"/>
      <c r="B598" s="47"/>
      <c r="C598" s="48"/>
      <c r="D598" s="47"/>
      <c r="E598" s="47"/>
      <c r="F598" s="47"/>
    </row>
    <row r="599" spans="1:6">
      <c r="A599" s="44"/>
      <c r="B599" s="47"/>
      <c r="C599" s="48"/>
      <c r="D599" s="47"/>
      <c r="E599" s="47"/>
      <c r="F599" s="47"/>
    </row>
    <row r="600" spans="1:6">
      <c r="A600" s="44"/>
      <c r="B600" s="47"/>
      <c r="C600" s="48"/>
      <c r="D600" s="47"/>
      <c r="E600" s="47"/>
      <c r="F600" s="47"/>
    </row>
    <row r="601" spans="1:6">
      <c r="A601" s="44"/>
      <c r="B601" s="47"/>
      <c r="C601" s="48"/>
      <c r="D601" s="47"/>
      <c r="E601" s="47"/>
      <c r="F601" s="47"/>
    </row>
    <row r="602" spans="1:6">
      <c r="A602" s="44"/>
      <c r="B602" s="47"/>
      <c r="C602" s="48"/>
      <c r="D602" s="47"/>
      <c r="E602" s="47"/>
      <c r="F602" s="47"/>
    </row>
    <row r="603" spans="1:6">
      <c r="A603" s="44"/>
      <c r="B603" s="47"/>
      <c r="C603" s="48"/>
      <c r="D603" s="47"/>
      <c r="E603" s="47"/>
      <c r="F603" s="47"/>
    </row>
    <row r="604" spans="1:6">
      <c r="A604" s="44"/>
      <c r="B604" s="47"/>
      <c r="C604" s="48"/>
      <c r="D604" s="47"/>
      <c r="E604" s="47"/>
      <c r="F604" s="47"/>
    </row>
    <row r="605" spans="1:6">
      <c r="A605" s="44"/>
      <c r="B605" s="47"/>
      <c r="C605" s="48"/>
      <c r="D605" s="47"/>
      <c r="E605" s="47"/>
      <c r="F605" s="47"/>
    </row>
    <row r="606" spans="1:6">
      <c r="A606" s="44"/>
      <c r="B606" s="47"/>
      <c r="C606" s="48"/>
      <c r="D606" s="47"/>
      <c r="E606" s="47"/>
      <c r="F606" s="47"/>
    </row>
    <row r="607" spans="1:6">
      <c r="A607" s="44"/>
      <c r="B607" s="47"/>
      <c r="C607" s="48"/>
      <c r="D607" s="47"/>
      <c r="E607" s="47"/>
      <c r="F607" s="47"/>
    </row>
    <row r="608" spans="1:6">
      <c r="A608" s="44"/>
      <c r="B608" s="47"/>
      <c r="C608" s="48"/>
      <c r="D608" s="47"/>
      <c r="E608" s="47"/>
      <c r="F608" s="47"/>
    </row>
    <row r="609" spans="1:6">
      <c r="A609" s="44"/>
      <c r="B609" s="47"/>
      <c r="C609" s="48"/>
      <c r="D609" s="47"/>
      <c r="E609" s="47"/>
      <c r="F609" s="47"/>
    </row>
    <row r="610" spans="1:6">
      <c r="A610" s="44"/>
      <c r="B610" s="47"/>
      <c r="C610" s="48"/>
      <c r="D610" s="47"/>
      <c r="E610" s="47"/>
      <c r="F610" s="47"/>
    </row>
    <row r="611" spans="1:6">
      <c r="A611" s="44"/>
      <c r="B611" s="47"/>
      <c r="C611" s="48"/>
      <c r="D611" s="47"/>
      <c r="E611" s="47"/>
      <c r="F611" s="47"/>
    </row>
    <row r="612" spans="1:6">
      <c r="A612" s="44"/>
      <c r="B612" s="47"/>
      <c r="C612" s="48"/>
      <c r="D612" s="47"/>
      <c r="E612" s="47"/>
      <c r="F612" s="47"/>
    </row>
    <row r="613" spans="1:6">
      <c r="A613" s="44"/>
      <c r="B613" s="47"/>
      <c r="C613" s="48"/>
      <c r="D613" s="47"/>
      <c r="E613" s="47"/>
      <c r="F613" s="47"/>
    </row>
    <row r="614" spans="1:6">
      <c r="A614" s="44"/>
      <c r="B614" s="47"/>
      <c r="C614" s="48"/>
      <c r="D614" s="47"/>
      <c r="E614" s="47"/>
      <c r="F614" s="47"/>
    </row>
    <row r="615" spans="1:6">
      <c r="A615" s="44"/>
      <c r="B615" s="47"/>
      <c r="C615" s="48"/>
      <c r="D615" s="47"/>
      <c r="E615" s="47"/>
      <c r="F615" s="47"/>
    </row>
    <row r="616" spans="1:6">
      <c r="A616" s="44"/>
      <c r="B616" s="47"/>
      <c r="C616" s="48"/>
      <c r="D616" s="47"/>
      <c r="E616" s="47"/>
      <c r="F616" s="47"/>
    </row>
    <row r="617" spans="1:6">
      <c r="A617" s="44"/>
      <c r="B617" s="47"/>
      <c r="C617" s="48"/>
      <c r="D617" s="47"/>
      <c r="E617" s="47"/>
      <c r="F617" s="47"/>
    </row>
    <row r="618" spans="1:6">
      <c r="A618" s="44"/>
      <c r="B618" s="47"/>
      <c r="C618" s="48"/>
      <c r="D618" s="47"/>
      <c r="E618" s="47"/>
      <c r="F618" s="47"/>
    </row>
    <row r="619" spans="1:6">
      <c r="A619" s="44"/>
      <c r="B619" s="47"/>
      <c r="C619" s="48"/>
      <c r="D619" s="47"/>
      <c r="E619" s="47"/>
      <c r="F619" s="47"/>
    </row>
    <row r="620" spans="1:6">
      <c r="A620" s="44"/>
      <c r="B620" s="47"/>
      <c r="C620" s="48"/>
      <c r="D620" s="47"/>
      <c r="E620" s="47"/>
      <c r="F620" s="47"/>
    </row>
    <row r="621" spans="1:6">
      <c r="A621" s="44"/>
      <c r="B621" s="47"/>
      <c r="C621" s="48"/>
      <c r="D621" s="47"/>
      <c r="E621" s="47"/>
      <c r="F621" s="47"/>
    </row>
    <row r="622" spans="1:6">
      <c r="A622" s="44"/>
      <c r="B622" s="47"/>
      <c r="C622" s="48"/>
      <c r="D622" s="47"/>
      <c r="E622" s="47"/>
      <c r="F622" s="47"/>
    </row>
    <row r="623" spans="1:6">
      <c r="A623" s="44"/>
      <c r="B623" s="47"/>
      <c r="C623" s="48"/>
      <c r="D623" s="47"/>
      <c r="E623" s="47"/>
      <c r="F623" s="47"/>
    </row>
    <row r="624" spans="1:6">
      <c r="A624" s="44"/>
      <c r="B624" s="47"/>
      <c r="C624" s="48"/>
      <c r="D624" s="47"/>
      <c r="E624" s="47"/>
      <c r="F624" s="47"/>
    </row>
    <row r="625" spans="1:6">
      <c r="A625" s="44"/>
      <c r="B625" s="47"/>
      <c r="C625" s="48"/>
      <c r="D625" s="47"/>
      <c r="E625" s="47"/>
      <c r="F625" s="47"/>
    </row>
    <row r="626" spans="1:6">
      <c r="A626" s="44"/>
      <c r="B626" s="47"/>
      <c r="C626" s="48"/>
      <c r="D626" s="47"/>
      <c r="E626" s="47"/>
      <c r="F626" s="47"/>
    </row>
    <row r="627" spans="1:6">
      <c r="A627" s="44"/>
      <c r="B627" s="47"/>
      <c r="C627" s="48"/>
      <c r="D627" s="47"/>
      <c r="E627" s="47"/>
      <c r="F627" s="47"/>
    </row>
    <row r="628" spans="1:6">
      <c r="A628" s="44"/>
      <c r="B628" s="47"/>
      <c r="C628" s="48"/>
      <c r="D628" s="47"/>
      <c r="E628" s="47"/>
      <c r="F628" s="47"/>
    </row>
    <row r="629" spans="1:6">
      <c r="A629" s="44"/>
      <c r="B629" s="47"/>
      <c r="C629" s="48"/>
      <c r="D629" s="47"/>
      <c r="E629" s="47"/>
      <c r="F629" s="47"/>
    </row>
    <row r="630" spans="1:6">
      <c r="A630" s="44"/>
      <c r="B630" s="47"/>
      <c r="C630" s="48"/>
      <c r="D630" s="47"/>
      <c r="E630" s="47"/>
      <c r="F630" s="47"/>
    </row>
    <row r="631" spans="1:6">
      <c r="A631" s="44"/>
      <c r="B631" s="47"/>
      <c r="C631" s="48"/>
      <c r="D631" s="47"/>
      <c r="E631" s="47"/>
      <c r="F631" s="47"/>
    </row>
    <row r="632" spans="1:6">
      <c r="A632" s="44"/>
      <c r="B632" s="47"/>
      <c r="C632" s="48"/>
      <c r="D632" s="47"/>
      <c r="E632" s="47"/>
      <c r="F632" s="47"/>
    </row>
    <row r="633" spans="1:6">
      <c r="A633" s="44"/>
      <c r="B633" s="47"/>
      <c r="C633" s="48"/>
      <c r="D633" s="47"/>
      <c r="E633" s="47"/>
      <c r="F633" s="47"/>
    </row>
    <row r="634" spans="1:6">
      <c r="A634" s="44"/>
      <c r="B634" s="47"/>
      <c r="C634" s="48"/>
      <c r="D634" s="47"/>
      <c r="E634" s="47"/>
      <c r="F634" s="47"/>
    </row>
    <row r="635" spans="1:6">
      <c r="A635" s="44"/>
      <c r="B635" s="47"/>
      <c r="C635" s="48"/>
      <c r="D635" s="47"/>
      <c r="E635" s="47"/>
      <c r="F635" s="47"/>
    </row>
    <row r="636" spans="1:6">
      <c r="A636" s="44"/>
      <c r="B636" s="47"/>
      <c r="C636" s="48"/>
      <c r="D636" s="47"/>
      <c r="E636" s="47"/>
      <c r="F636" s="47"/>
    </row>
    <row r="637" spans="1:6">
      <c r="A637" s="44"/>
      <c r="B637" s="47"/>
      <c r="C637" s="48"/>
      <c r="D637" s="47"/>
      <c r="E637" s="47"/>
      <c r="F637" s="47"/>
    </row>
    <row r="638" spans="1:6">
      <c r="A638" s="44"/>
      <c r="B638" s="47"/>
      <c r="C638" s="48"/>
      <c r="D638" s="47"/>
      <c r="E638" s="47"/>
      <c r="F638" s="47"/>
    </row>
    <row r="639" spans="1:6">
      <c r="A639" s="44"/>
      <c r="B639" s="47"/>
      <c r="C639" s="48"/>
      <c r="D639" s="47"/>
      <c r="E639" s="47"/>
      <c r="F639" s="47"/>
    </row>
    <row r="640" spans="1:6">
      <c r="A640" s="44"/>
      <c r="B640" s="47"/>
      <c r="C640" s="48"/>
      <c r="D640" s="47"/>
      <c r="E640" s="47"/>
      <c r="F640" s="47"/>
    </row>
    <row r="641" spans="1:6">
      <c r="A641" s="44"/>
      <c r="B641" s="47"/>
      <c r="C641" s="48"/>
      <c r="D641" s="47"/>
      <c r="E641" s="47"/>
      <c r="F641" s="47"/>
    </row>
    <row r="642" spans="1:6">
      <c r="A642" s="44"/>
      <c r="B642" s="47"/>
      <c r="C642" s="48"/>
      <c r="D642" s="47"/>
      <c r="E642" s="47"/>
      <c r="F642" s="47"/>
    </row>
    <row r="643" spans="1:6">
      <c r="A643" s="44"/>
      <c r="B643" s="47"/>
      <c r="C643" s="48"/>
      <c r="D643" s="47"/>
      <c r="E643" s="47"/>
      <c r="F643" s="47"/>
    </row>
    <row r="644" spans="1:6">
      <c r="A644" s="44"/>
      <c r="B644" s="47"/>
      <c r="C644" s="48"/>
      <c r="D644" s="47"/>
      <c r="E644" s="47"/>
      <c r="F644" s="47"/>
    </row>
    <row r="645" spans="1:6">
      <c r="A645" s="44"/>
      <c r="B645" s="47"/>
      <c r="C645" s="48"/>
      <c r="D645" s="47"/>
      <c r="E645" s="47"/>
      <c r="F645" s="47"/>
    </row>
    <row r="646" spans="1:6">
      <c r="A646" s="44"/>
      <c r="B646" s="47"/>
      <c r="C646" s="48"/>
      <c r="D646" s="47"/>
      <c r="E646" s="47"/>
      <c r="F646" s="47"/>
    </row>
    <row r="647" spans="1:6">
      <c r="A647" s="44"/>
      <c r="B647" s="47"/>
      <c r="C647" s="48"/>
      <c r="D647" s="47"/>
      <c r="E647" s="47"/>
      <c r="F647" s="47"/>
    </row>
    <row r="648" spans="1:6">
      <c r="A648" s="44"/>
      <c r="B648" s="47"/>
      <c r="C648" s="48"/>
      <c r="D648" s="47"/>
      <c r="E648" s="47"/>
      <c r="F648" s="47"/>
    </row>
    <row r="649" spans="1:6">
      <c r="A649" s="44"/>
      <c r="B649" s="47"/>
      <c r="C649" s="48"/>
      <c r="D649" s="47"/>
      <c r="E649" s="47"/>
      <c r="F649" s="47"/>
    </row>
    <row r="650" spans="1:6">
      <c r="A650" s="44"/>
      <c r="B650" s="47"/>
      <c r="C650" s="48"/>
      <c r="D650" s="47"/>
      <c r="E650" s="47"/>
      <c r="F650" s="47"/>
    </row>
    <row r="651" spans="1:6">
      <c r="A651" s="44"/>
      <c r="B651" s="47"/>
      <c r="C651" s="48"/>
      <c r="D651" s="47"/>
      <c r="E651" s="47"/>
      <c r="F651" s="47"/>
    </row>
    <row r="652" spans="1:6">
      <c r="A652" s="44"/>
      <c r="B652" s="47"/>
      <c r="C652" s="48"/>
      <c r="D652" s="47"/>
      <c r="E652" s="47"/>
      <c r="F652" s="47"/>
    </row>
    <row r="653" spans="1:6">
      <c r="A653" s="44"/>
      <c r="B653" s="47"/>
      <c r="C653" s="48"/>
      <c r="D653" s="47"/>
      <c r="E653" s="47"/>
      <c r="F653" s="47"/>
    </row>
    <row r="654" spans="1:6">
      <c r="A654" s="44"/>
      <c r="B654" s="47"/>
      <c r="C654" s="48"/>
      <c r="D654" s="47"/>
      <c r="E654" s="47"/>
      <c r="F654" s="47"/>
    </row>
    <row r="655" spans="1:6">
      <c r="A655" s="44"/>
      <c r="B655" s="47"/>
      <c r="C655" s="48"/>
      <c r="D655" s="47"/>
      <c r="E655" s="47"/>
      <c r="F655" s="47"/>
    </row>
    <row r="656" spans="1:6">
      <c r="A656" s="44"/>
      <c r="B656" s="47"/>
      <c r="C656" s="48"/>
      <c r="D656" s="47"/>
      <c r="E656" s="47"/>
      <c r="F656" s="47"/>
    </row>
    <row r="657" spans="1:6">
      <c r="A657" s="44"/>
      <c r="B657" s="47"/>
      <c r="C657" s="48"/>
      <c r="D657" s="47"/>
      <c r="E657" s="47"/>
      <c r="F657" s="47"/>
    </row>
    <row r="658" spans="1:6">
      <c r="A658" s="44"/>
      <c r="B658" s="47"/>
      <c r="C658" s="48"/>
      <c r="D658" s="47"/>
      <c r="E658" s="47"/>
      <c r="F658" s="47"/>
    </row>
    <row r="659" spans="1:6">
      <c r="A659" s="44"/>
      <c r="B659" s="47"/>
      <c r="C659" s="48"/>
      <c r="D659" s="47"/>
      <c r="E659" s="47"/>
      <c r="F659" s="47"/>
    </row>
    <row r="660" spans="1:6">
      <c r="A660" s="44"/>
      <c r="B660" s="47"/>
      <c r="C660" s="48"/>
      <c r="D660" s="47"/>
      <c r="E660" s="47"/>
      <c r="F660" s="47"/>
    </row>
    <row r="661" spans="1:6">
      <c r="A661" s="44"/>
      <c r="B661" s="47"/>
      <c r="C661" s="48"/>
      <c r="D661" s="47"/>
      <c r="E661" s="47"/>
      <c r="F661" s="47"/>
    </row>
    <row r="662" spans="1:6">
      <c r="A662" s="44"/>
      <c r="B662" s="47"/>
      <c r="C662" s="48"/>
      <c r="D662" s="47"/>
      <c r="E662" s="47"/>
      <c r="F662" s="47"/>
    </row>
    <row r="663" spans="1:6">
      <c r="A663" s="44"/>
      <c r="B663" s="47"/>
      <c r="C663" s="48"/>
      <c r="D663" s="47"/>
      <c r="E663" s="47"/>
      <c r="F663" s="47"/>
    </row>
    <row r="664" spans="1:6">
      <c r="A664" s="44"/>
      <c r="B664" s="47"/>
      <c r="C664" s="48"/>
      <c r="D664" s="47"/>
      <c r="E664" s="47"/>
      <c r="F664" s="47"/>
    </row>
  </sheetData>
  <mergeCells count="5">
    <mergeCell ref="A2:B2"/>
    <mergeCell ref="A3:B3"/>
    <mergeCell ref="A4:B4"/>
    <mergeCell ref="A5:B5"/>
    <mergeCell ref="A1:F1"/>
  </mergeCells>
  <dataValidations count="5">
    <dataValidation allowBlank="1" showInputMessage="1" showErrorMessage="1" promptTitle="Values and monthly payments" prompt="These numbers are calculated automatically." sqref="F2:F5" xr:uid="{A4C68DD0-E9F2-462A-B1EC-DFDD6AEB8E36}"/>
    <dataValidation allowBlank="1" showErrorMessage="1" sqref="C4" xr:uid="{A096C5A4-EE4B-4D71-8AC3-038899BC81D2}"/>
    <dataValidation allowBlank="1" showInputMessage="1" showErrorMessage="1" promptTitle="Contribution each month" prompt="Enter the percent amount of the earnings you want to reinvest in the investment each month. Don't include a percent sign. _x000a__x000a_Hints:_x000a_-If you want to reinvest all the earnings, enter 100. _x000a_-If you want to reinvest nothing, enter 0." sqref="C5" xr:uid="{EC95E519-75CC-48C6-854B-AAD630E15AB2}"/>
    <dataValidation allowBlank="1" showInputMessage="1" showErrorMessage="1" promptTitle="Interest rate" prompt="Enter the rate of return you expect on the investment. Don't include a percent sign._x000a_" sqref="C3" xr:uid="{D4612B9A-F384-45DA-ADB8-61CDDAE2451A}"/>
    <dataValidation allowBlank="1" showInputMessage="1" showErrorMessage="1" promptTitle="Present value" prompt="Enter the amount of money you have invested right now." sqref="C2" xr:uid="{DD794EF5-DD39-476B-BE14-EB658140B3D3}"/>
  </dataValidation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67BDE7-F22F-472D-845D-A051DF87A20D}">
  <dimension ref="A1:AG376"/>
  <sheetViews>
    <sheetView zoomScaleNormal="100" workbookViewId="0">
      <selection sqref="A1:G1"/>
    </sheetView>
  </sheetViews>
  <sheetFormatPr defaultColWidth="10.5" defaultRowHeight="13"/>
  <cols>
    <col min="1" max="1" width="9.59765625" style="19" bestFit="1" customWidth="1"/>
    <col min="2" max="2" width="17.3984375" style="19" bestFit="1" customWidth="1"/>
    <col min="3" max="3" width="21.09765625" style="19" bestFit="1" customWidth="1"/>
    <col min="4" max="4" width="12.69921875" style="19" bestFit="1" customWidth="1"/>
    <col min="5" max="5" width="12.3984375" style="19" bestFit="1" customWidth="1"/>
    <col min="6" max="6" width="11.796875" style="19" bestFit="1" customWidth="1"/>
    <col min="7" max="7" width="18.19921875" style="19" bestFit="1" customWidth="1"/>
    <col min="8" max="8" width="3.19921875" style="18" hidden="1" customWidth="1"/>
    <col min="9" max="16384" width="10.5" style="18"/>
  </cols>
  <sheetData>
    <row r="1" spans="1:33" ht="15.5">
      <c r="A1" s="218" t="s">
        <v>142</v>
      </c>
      <c r="B1" s="219"/>
      <c r="C1" s="219"/>
      <c r="D1" s="219"/>
      <c r="E1" s="219"/>
      <c r="F1" s="219"/>
      <c r="G1" s="219"/>
    </row>
    <row r="2" spans="1:33" ht="14.5">
      <c r="A2" s="59"/>
      <c r="B2" s="60"/>
      <c r="C2" s="60"/>
      <c r="D2" s="60"/>
      <c r="E2" s="60"/>
      <c r="F2" s="60"/>
      <c r="G2" s="60"/>
    </row>
    <row r="3" spans="1:33" ht="14.5">
      <c r="A3" s="217" t="s">
        <v>129</v>
      </c>
      <c r="B3" s="217"/>
      <c r="C3" s="58">
        <v>21000</v>
      </c>
      <c r="D3" s="61"/>
      <c r="E3" s="62"/>
      <c r="F3" s="63"/>
      <c r="G3" s="63"/>
    </row>
    <row r="4" spans="1:33" ht="14.5">
      <c r="A4" s="217" t="s">
        <v>130</v>
      </c>
      <c r="B4" s="217"/>
      <c r="C4" s="64">
        <v>0.24249999999999999</v>
      </c>
      <c r="D4" s="61"/>
      <c r="E4" s="65"/>
      <c r="F4" s="63"/>
      <c r="G4" s="63"/>
      <c r="I4" s="25"/>
      <c r="J4" s="25"/>
      <c r="K4" s="25"/>
      <c r="L4" s="25"/>
      <c r="M4" s="25"/>
      <c r="N4" s="25"/>
      <c r="O4" s="25"/>
      <c r="P4" s="25"/>
      <c r="Q4" s="25"/>
      <c r="R4" s="25"/>
      <c r="S4" s="25"/>
      <c r="T4" s="25"/>
      <c r="U4" s="25"/>
      <c r="V4" s="25"/>
      <c r="W4" s="25"/>
      <c r="X4" s="25"/>
      <c r="Y4" s="25"/>
      <c r="Z4" s="25"/>
      <c r="AA4" s="25"/>
      <c r="AB4" s="25"/>
      <c r="AC4" s="25"/>
      <c r="AD4" s="25"/>
      <c r="AE4" s="25"/>
      <c r="AF4" s="25"/>
      <c r="AG4" s="25"/>
    </row>
    <row r="5" spans="1:33" ht="14.5">
      <c r="A5" s="217" t="s">
        <v>131</v>
      </c>
      <c r="B5" s="217"/>
      <c r="C5" s="66">
        <v>10</v>
      </c>
      <c r="D5" s="61"/>
      <c r="E5" s="62"/>
      <c r="F5" s="63"/>
      <c r="G5" s="63"/>
      <c r="I5" s="25"/>
      <c r="J5" s="25"/>
      <c r="K5" s="25"/>
      <c r="L5" s="25"/>
      <c r="M5" s="25"/>
      <c r="N5" s="25"/>
      <c r="O5" s="25"/>
      <c r="P5" s="25"/>
      <c r="Q5" s="25"/>
      <c r="R5" s="25"/>
      <c r="S5" s="25"/>
      <c r="T5" s="25"/>
      <c r="U5" s="25"/>
      <c r="V5" s="25"/>
      <c r="W5" s="25"/>
      <c r="X5" s="25"/>
      <c r="Y5" s="25"/>
      <c r="Z5" s="25"/>
      <c r="AA5" s="25"/>
      <c r="AB5" s="25"/>
      <c r="AC5" s="25"/>
      <c r="AD5" s="25"/>
      <c r="AE5" s="25"/>
      <c r="AF5" s="25"/>
      <c r="AG5" s="25"/>
    </row>
    <row r="6" spans="1:33" ht="14.5">
      <c r="A6" s="217" t="s">
        <v>132</v>
      </c>
      <c r="B6" s="217"/>
      <c r="C6" s="67">
        <f ca="1">TODAY()</f>
        <v>45757</v>
      </c>
      <c r="D6" s="61"/>
      <c r="E6" s="62"/>
      <c r="F6" s="63"/>
      <c r="G6" s="63"/>
      <c r="I6" s="25"/>
      <c r="J6" s="25"/>
      <c r="K6" s="25"/>
      <c r="L6" s="25"/>
      <c r="M6" s="25"/>
      <c r="N6" s="25"/>
      <c r="O6" s="25"/>
      <c r="P6" s="25"/>
      <c r="Q6" s="25"/>
      <c r="R6" s="25"/>
      <c r="S6" s="25"/>
      <c r="T6" s="25"/>
      <c r="U6" s="25"/>
      <c r="V6" s="25"/>
      <c r="W6" s="25"/>
      <c r="X6" s="25"/>
      <c r="Y6" s="25"/>
      <c r="Z6" s="25"/>
      <c r="AA6" s="25"/>
      <c r="AB6" s="25"/>
      <c r="AC6" s="25"/>
      <c r="AD6" s="25"/>
      <c r="AE6" s="25"/>
      <c r="AF6" s="25"/>
      <c r="AG6" s="25"/>
    </row>
    <row r="7" spans="1:33" ht="14.5">
      <c r="A7" s="61"/>
      <c r="B7" s="61"/>
      <c r="C7" s="61"/>
      <c r="D7" s="68"/>
      <c r="E7" s="63"/>
      <c r="F7" s="63"/>
      <c r="G7" s="63"/>
      <c r="I7" s="25"/>
      <c r="J7" s="25"/>
      <c r="K7" s="25"/>
      <c r="L7" s="25"/>
      <c r="M7" s="25"/>
      <c r="N7" s="25"/>
      <c r="O7" s="25"/>
      <c r="P7" s="25"/>
      <c r="Q7" s="25"/>
      <c r="R7" s="25"/>
      <c r="S7" s="25"/>
      <c r="T7" s="25"/>
      <c r="U7" s="25"/>
      <c r="V7" s="25"/>
      <c r="W7" s="25"/>
      <c r="X7" s="25"/>
      <c r="Y7" s="25"/>
      <c r="Z7" s="25"/>
      <c r="AA7" s="25"/>
      <c r="AB7" s="25"/>
      <c r="AC7" s="25"/>
      <c r="AD7" s="25"/>
      <c r="AE7" s="25"/>
      <c r="AF7" s="25"/>
      <c r="AG7" s="25"/>
    </row>
    <row r="8" spans="1:33" ht="14.5">
      <c r="A8" s="217" t="s">
        <v>133</v>
      </c>
      <c r="B8" s="217"/>
      <c r="C8" s="58">
        <f ca="1">IFERROR(IF(Values_Entered,Monthly_Payment,""), "")</f>
        <v>466.67608947837732</v>
      </c>
      <c r="D8" s="63"/>
      <c r="E8" s="63"/>
      <c r="F8" s="63"/>
      <c r="G8" s="63"/>
      <c r="I8" s="25"/>
      <c r="J8" s="25"/>
      <c r="K8" s="25"/>
      <c r="L8" s="25"/>
      <c r="M8" s="25"/>
      <c r="N8" s="25"/>
      <c r="O8" s="25"/>
      <c r="P8" s="25"/>
      <c r="Q8" s="25"/>
      <c r="R8" s="25"/>
      <c r="S8" s="25"/>
      <c r="T8" s="25"/>
      <c r="U8" s="25"/>
      <c r="V8" s="25"/>
      <c r="W8" s="25"/>
      <c r="X8" s="25"/>
      <c r="Y8" s="25"/>
      <c r="Z8" s="25"/>
      <c r="AA8" s="25"/>
      <c r="AB8" s="25"/>
      <c r="AC8" s="25"/>
      <c r="AD8" s="25"/>
      <c r="AE8" s="25"/>
      <c r="AF8" s="25"/>
      <c r="AG8" s="25"/>
    </row>
    <row r="9" spans="1:33" ht="14.5">
      <c r="A9" s="217" t="s">
        <v>134</v>
      </c>
      <c r="B9" s="217"/>
      <c r="C9" s="66">
        <f ca="1">IFERROR(IF(Values_Entered,Loan_Years*12,""), "")</f>
        <v>120</v>
      </c>
      <c r="D9" s="63"/>
      <c r="E9" s="63"/>
      <c r="F9" s="63"/>
      <c r="G9" s="63"/>
      <c r="I9" s="25"/>
      <c r="J9" s="25"/>
      <c r="K9" s="25"/>
      <c r="L9" s="25"/>
      <c r="M9" s="25"/>
      <c r="N9" s="25"/>
      <c r="O9" s="25"/>
      <c r="P9" s="25"/>
      <c r="Q9" s="25"/>
      <c r="R9" s="25"/>
      <c r="S9" s="25"/>
      <c r="T9" s="25"/>
      <c r="U9" s="25"/>
      <c r="V9" s="25"/>
      <c r="W9" s="25"/>
      <c r="X9" s="25"/>
      <c r="Y9" s="25"/>
      <c r="Z9" s="25"/>
      <c r="AA9" s="25"/>
      <c r="AB9" s="25"/>
      <c r="AC9" s="25"/>
      <c r="AD9" s="25"/>
      <c r="AE9" s="25"/>
      <c r="AF9" s="25"/>
      <c r="AG9" s="25"/>
    </row>
    <row r="10" spans="1:33" ht="14.5">
      <c r="A10" s="217" t="s">
        <v>135</v>
      </c>
      <c r="B10" s="217"/>
      <c r="C10" s="69">
        <f ca="1">IFERROR(IF(Values_Entered,Total_Cost-Loan_Amount,""), "")</f>
        <v>35001.130737405278</v>
      </c>
      <c r="D10" s="63"/>
      <c r="E10" s="63"/>
      <c r="F10" s="63"/>
      <c r="G10" s="63"/>
      <c r="I10" s="25"/>
      <c r="J10" s="25"/>
      <c r="K10" s="25"/>
      <c r="L10" s="25"/>
      <c r="M10" s="25"/>
      <c r="N10" s="25"/>
      <c r="O10" s="25"/>
      <c r="P10" s="25"/>
      <c r="Q10" s="25"/>
      <c r="R10" s="25"/>
      <c r="S10" s="25"/>
      <c r="T10" s="25"/>
      <c r="U10" s="25"/>
      <c r="V10" s="25"/>
      <c r="W10" s="25"/>
      <c r="X10" s="25"/>
      <c r="Y10" s="25"/>
      <c r="Z10" s="25"/>
      <c r="AA10" s="25"/>
      <c r="AB10" s="25"/>
      <c r="AC10" s="25"/>
      <c r="AD10" s="25"/>
      <c r="AE10" s="25"/>
      <c r="AF10" s="25"/>
      <c r="AG10" s="25"/>
    </row>
    <row r="11" spans="1:33" ht="14.5">
      <c r="A11" s="217" t="s">
        <v>136</v>
      </c>
      <c r="B11" s="217"/>
      <c r="C11" s="58">
        <f ca="1">IFERROR(IF(Values_Entered,Monthly_Payment*Number_of_Payments,""), "")</f>
        <v>56001.130737405278</v>
      </c>
      <c r="D11" s="63"/>
      <c r="E11" s="63"/>
      <c r="F11" s="63"/>
      <c r="G11" s="63"/>
      <c r="I11" s="25"/>
      <c r="J11" s="25"/>
      <c r="K11" s="25"/>
      <c r="L11" s="25"/>
      <c r="M11" s="25"/>
      <c r="N11" s="25"/>
      <c r="O11" s="25"/>
      <c r="P11" s="25"/>
      <c r="Q11" s="25"/>
      <c r="R11" s="25"/>
      <c r="S11" s="25"/>
      <c r="T11" s="25"/>
      <c r="U11" s="25"/>
      <c r="V11" s="25"/>
      <c r="W11" s="25"/>
      <c r="X11" s="25"/>
      <c r="Y11" s="25"/>
      <c r="Z11" s="25"/>
      <c r="AA11" s="25"/>
      <c r="AB11" s="25"/>
      <c r="AC11" s="25"/>
      <c r="AD11" s="25"/>
      <c r="AE11" s="25"/>
      <c r="AF11" s="25"/>
      <c r="AG11" s="25"/>
    </row>
    <row r="12" spans="1:33" s="24" customFormat="1" ht="14.5">
      <c r="A12" s="61"/>
      <c r="B12" s="61"/>
      <c r="C12" s="61"/>
      <c r="D12" s="70"/>
      <c r="E12" s="63"/>
      <c r="F12" s="63"/>
      <c r="G12" s="63"/>
      <c r="I12" s="26"/>
      <c r="J12" s="26"/>
      <c r="K12" s="26"/>
      <c r="L12" s="26"/>
      <c r="M12" s="26"/>
      <c r="N12" s="26"/>
      <c r="O12" s="26"/>
      <c r="P12" s="26"/>
      <c r="Q12" s="26"/>
      <c r="R12" s="26"/>
      <c r="S12" s="26"/>
      <c r="T12" s="26"/>
      <c r="U12" s="26"/>
      <c r="V12" s="26"/>
      <c r="W12" s="26"/>
      <c r="X12" s="26"/>
      <c r="Y12" s="26"/>
      <c r="Z12" s="26"/>
      <c r="AA12" s="26"/>
      <c r="AB12" s="26"/>
      <c r="AC12" s="26"/>
      <c r="AD12" s="26"/>
      <c r="AE12" s="26"/>
      <c r="AF12" s="26"/>
      <c r="AG12" s="26"/>
    </row>
    <row r="13" spans="1:33" s="20" customFormat="1" ht="14.5">
      <c r="A13" s="71" t="s">
        <v>137</v>
      </c>
      <c r="B13" s="72" t="s">
        <v>138</v>
      </c>
      <c r="C13" s="73" t="s">
        <v>139</v>
      </c>
      <c r="D13" s="73" t="s">
        <v>113</v>
      </c>
      <c r="E13" s="73" t="s">
        <v>140</v>
      </c>
      <c r="F13" s="73" t="s">
        <v>114</v>
      </c>
      <c r="G13" s="73" t="s">
        <v>141</v>
      </c>
      <c r="I13" s="27"/>
      <c r="J13" s="27"/>
      <c r="K13" s="27"/>
      <c r="L13" s="27"/>
      <c r="M13" s="27"/>
      <c r="N13" s="27"/>
      <c r="O13" s="27"/>
      <c r="P13" s="27"/>
      <c r="Q13" s="27"/>
      <c r="R13" s="27"/>
      <c r="S13" s="27"/>
      <c r="T13" s="27"/>
      <c r="U13" s="27"/>
      <c r="V13" s="27"/>
      <c r="W13" s="27"/>
      <c r="X13" s="27"/>
      <c r="Y13" s="27"/>
      <c r="Z13" s="27"/>
      <c r="AA13" s="27"/>
      <c r="AB13" s="27"/>
      <c r="AC13" s="27"/>
      <c r="AD13" s="27"/>
      <c r="AE13" s="27"/>
      <c r="AF13" s="27"/>
      <c r="AG13" s="27"/>
    </row>
    <row r="14" spans="1:33" ht="14.5">
      <c r="A14" s="74">
        <f ca="1">IFERROR(IF(Loan_Not_Paid*Values_Entered,Payment_Number,""), "")</f>
        <v>1</v>
      </c>
      <c r="B14" s="75">
        <f ca="1">IFERROR(IF(Loan_Not_Paid*Values_Entered,Payment_Date,""), "")</f>
        <v>45787</v>
      </c>
      <c r="C14" s="76">
        <f ca="1">IFERROR(IF(Loan_Not_Paid*Values_Entered,Beginning_Balance,""), "")</f>
        <v>21000</v>
      </c>
      <c r="D14" s="76">
        <f ca="1">IFERROR(IF(Loan_Not_Paid*Values_Entered,Monthly_Payment,""), "")</f>
        <v>466.67608947837732</v>
      </c>
      <c r="E14" s="76">
        <f ca="1">IFERROR(IF(Loan_Not_Paid*Values_Entered,Principal,""), "")</f>
        <v>42.301089478377342</v>
      </c>
      <c r="F14" s="76">
        <f ca="1">IFERROR(IF(Loan_Not_Paid*Values_Entered,Interest,""), "")</f>
        <v>424.37499999999994</v>
      </c>
      <c r="G14" s="77">
        <f ca="1">IFERROR(IF(Loan_Not_Paid*Values_Entered,Ending_Balance,""), "")</f>
        <v>20957.69891052162</v>
      </c>
      <c r="I14" s="25"/>
      <c r="J14" s="25"/>
      <c r="K14" s="25"/>
      <c r="L14" s="25"/>
      <c r="M14" s="25"/>
      <c r="N14" s="25"/>
      <c r="O14" s="25"/>
      <c r="P14" s="25"/>
      <c r="Q14" s="25"/>
      <c r="R14" s="25"/>
      <c r="S14" s="25"/>
      <c r="T14" s="25"/>
      <c r="U14" s="25"/>
      <c r="V14" s="25"/>
      <c r="W14" s="25"/>
      <c r="X14" s="25"/>
      <c r="Y14" s="25"/>
      <c r="Z14" s="25"/>
      <c r="AA14" s="25"/>
      <c r="AB14" s="25"/>
      <c r="AC14" s="25"/>
      <c r="AD14" s="25"/>
      <c r="AE14" s="25"/>
      <c r="AF14" s="25"/>
      <c r="AG14" s="25"/>
    </row>
    <row r="15" spans="1:33" ht="14.5">
      <c r="A15" s="74">
        <f ca="1">IFERROR(IF(Loan_Not_Paid*Values_Entered,Payment_Number,""), "")</f>
        <v>2</v>
      </c>
      <c r="B15" s="75">
        <f ca="1">IFERROR(IF(Loan_Not_Paid*Values_Entered,Payment_Date,""), "")</f>
        <v>45818</v>
      </c>
      <c r="C15" s="76">
        <f ca="1">IFERROR(IF(Loan_Not_Paid*Values_Entered,Beginning_Balance,""), "")</f>
        <v>20957.69891052162</v>
      </c>
      <c r="D15" s="76">
        <f ca="1">IFERROR(IF(Loan_Not_Paid*Values_Entered,Monthly_Payment,""), "")</f>
        <v>466.67608947837732</v>
      </c>
      <c r="E15" s="76">
        <f ca="1">IFERROR(IF(Loan_Not_Paid*Values_Entered,Principal,""), "")</f>
        <v>43.155923994919554</v>
      </c>
      <c r="F15" s="76">
        <f ca="1">IFERROR(IF(Loan_Not_Paid*Values_Entered,Interest,""), "")</f>
        <v>423.52016548345779</v>
      </c>
      <c r="G15" s="77">
        <f ca="1">IFERROR(IF(Loan_Not_Paid*Values_Entered,Ending_Balance,""), "")</f>
        <v>20914.542986526703</v>
      </c>
      <c r="I15" s="25"/>
      <c r="J15" s="25"/>
      <c r="K15" s="25"/>
      <c r="L15" s="25"/>
      <c r="M15" s="25"/>
      <c r="N15" s="25"/>
      <c r="O15" s="25"/>
      <c r="P15" s="25"/>
      <c r="Q15" s="25"/>
      <c r="R15" s="25"/>
      <c r="S15" s="25"/>
      <c r="T15" s="25"/>
      <c r="U15" s="25"/>
      <c r="V15" s="25"/>
      <c r="W15" s="25"/>
      <c r="X15" s="25"/>
      <c r="Y15" s="25"/>
      <c r="Z15" s="25"/>
      <c r="AA15" s="25"/>
      <c r="AB15" s="25"/>
      <c r="AC15" s="25"/>
      <c r="AD15" s="25"/>
      <c r="AE15" s="25"/>
      <c r="AF15" s="25"/>
      <c r="AG15" s="25"/>
    </row>
    <row r="16" spans="1:33" ht="14.5">
      <c r="A16" s="74">
        <f ca="1">IFERROR(IF(Loan_Not_Paid*Values_Entered,Payment_Number,""), "")</f>
        <v>3</v>
      </c>
      <c r="B16" s="75">
        <f ca="1">IFERROR(IF(Loan_Not_Paid*Values_Entered,Payment_Date,""), "")</f>
        <v>45848</v>
      </c>
      <c r="C16" s="76">
        <f ca="1">IFERROR(IF(Loan_Not_Paid*Values_Entered,Beginning_Balance,""), "")</f>
        <v>20914.542986526703</v>
      </c>
      <c r="D16" s="76">
        <f ca="1">IFERROR(IF(Loan_Not_Paid*Values_Entered,Monthly_Payment,""), "")</f>
        <v>466.67608947837732</v>
      </c>
      <c r="E16" s="76">
        <f ca="1">IFERROR(IF(Loan_Not_Paid*Values_Entered,Principal,""), "")</f>
        <v>44.028033292316884</v>
      </c>
      <c r="F16" s="76">
        <f ca="1">IFERROR(IF(Loan_Not_Paid*Values_Entered,Interest,""), "")</f>
        <v>422.64805618606044</v>
      </c>
      <c r="G16" s="77">
        <f ca="1">IFERROR(IF(Loan_Not_Paid*Values_Entered,Ending_Balance,""), "")</f>
        <v>20870.514953234386</v>
      </c>
      <c r="I16" s="25"/>
      <c r="J16" s="25"/>
      <c r="K16" s="25"/>
      <c r="L16" s="25"/>
      <c r="M16" s="25"/>
      <c r="N16" s="25"/>
      <c r="O16" s="25"/>
      <c r="P16" s="25"/>
      <c r="Q16" s="25"/>
      <c r="R16" s="25"/>
      <c r="S16" s="25"/>
      <c r="T16" s="25"/>
      <c r="U16" s="25"/>
      <c r="V16" s="25"/>
      <c r="W16" s="25"/>
      <c r="X16" s="25"/>
      <c r="Y16" s="25"/>
      <c r="Z16" s="25"/>
      <c r="AA16" s="25"/>
      <c r="AB16" s="25"/>
      <c r="AC16" s="25"/>
      <c r="AD16" s="25"/>
      <c r="AE16" s="25"/>
      <c r="AF16" s="25"/>
      <c r="AG16" s="25"/>
    </row>
    <row r="17" spans="1:33" ht="14.5">
      <c r="A17" s="74">
        <f ca="1">IFERROR(IF(Loan_Not_Paid*Values_Entered,Payment_Number,""), "")</f>
        <v>4</v>
      </c>
      <c r="B17" s="75">
        <f ca="1">IFERROR(IF(Loan_Not_Paid*Values_Entered,Payment_Date,""), "")</f>
        <v>45879</v>
      </c>
      <c r="C17" s="76">
        <f ca="1">IFERROR(IF(Loan_Not_Paid*Values_Entered,Beginning_Balance,""), "")</f>
        <v>20870.514953234386</v>
      </c>
      <c r="D17" s="76">
        <f ca="1">IFERROR(IF(Loan_Not_Paid*Values_Entered,Monthly_Payment,""), "")</f>
        <v>466.67608947837732</v>
      </c>
      <c r="E17" s="76">
        <f ca="1">IFERROR(IF(Loan_Not_Paid*Values_Entered,Principal,""), "")</f>
        <v>44.917766465099113</v>
      </c>
      <c r="F17" s="76">
        <f ca="1">IFERROR(IF(Loan_Not_Paid*Values_Entered,Interest,""), "")</f>
        <v>421.75832301327819</v>
      </c>
      <c r="G17" s="77">
        <f ca="1">IFERROR(IF(Loan_Not_Paid*Values_Entered,Ending_Balance,""), "")</f>
        <v>20825.59718676929</v>
      </c>
      <c r="I17" s="25"/>
      <c r="J17" s="25"/>
      <c r="K17" s="25"/>
      <c r="L17" s="25"/>
      <c r="M17" s="25"/>
      <c r="N17" s="25"/>
      <c r="O17" s="25"/>
      <c r="P17" s="25"/>
      <c r="Q17" s="25"/>
      <c r="R17" s="25"/>
      <c r="S17" s="25"/>
      <c r="T17" s="25"/>
      <c r="U17" s="25"/>
      <c r="V17" s="25"/>
      <c r="W17" s="25"/>
      <c r="X17" s="25"/>
      <c r="Y17" s="25"/>
      <c r="Z17" s="25"/>
      <c r="AA17" s="25"/>
      <c r="AB17" s="25"/>
      <c r="AC17" s="25"/>
      <c r="AD17" s="25"/>
      <c r="AE17" s="25"/>
      <c r="AF17" s="25"/>
      <c r="AG17" s="25"/>
    </row>
    <row r="18" spans="1:33" ht="14.5">
      <c r="A18" s="74">
        <f ca="1">IFERROR(IF(Loan_Not_Paid*Values_Entered,Payment_Number,""), "")</f>
        <v>5</v>
      </c>
      <c r="B18" s="75">
        <f ca="1">IFERROR(IF(Loan_Not_Paid*Values_Entered,Payment_Date,""), "")</f>
        <v>45910</v>
      </c>
      <c r="C18" s="76">
        <f ca="1">IFERROR(IF(Loan_Not_Paid*Values_Entered,Beginning_Balance,""), "")</f>
        <v>20825.59718676929</v>
      </c>
      <c r="D18" s="76">
        <f ca="1">IFERROR(IF(Loan_Not_Paid*Values_Entered,Monthly_Payment,""), "")</f>
        <v>466.67608947837732</v>
      </c>
      <c r="E18" s="76">
        <f ca="1">IFERROR(IF(Loan_Not_Paid*Values_Entered,Principal,""), "")</f>
        <v>45.825479662414679</v>
      </c>
      <c r="F18" s="76">
        <f ca="1">IFERROR(IF(Loan_Not_Paid*Values_Entered,Interest,""), "")</f>
        <v>420.85060981596263</v>
      </c>
      <c r="G18" s="77">
        <f ca="1">IFERROR(IF(Loan_Not_Paid*Values_Entered,Ending_Balance,""), "")</f>
        <v>20779.771707106873</v>
      </c>
      <c r="I18" s="25"/>
      <c r="J18" s="25"/>
      <c r="K18" s="25"/>
      <c r="L18" s="25"/>
      <c r="M18" s="25"/>
      <c r="N18" s="25"/>
      <c r="O18" s="25"/>
      <c r="P18" s="25"/>
      <c r="Q18" s="25"/>
      <c r="R18" s="25"/>
      <c r="S18" s="25"/>
      <c r="T18" s="25"/>
      <c r="U18" s="25"/>
      <c r="V18" s="25"/>
      <c r="W18" s="25"/>
      <c r="X18" s="25"/>
      <c r="Y18" s="25"/>
      <c r="Z18" s="25"/>
      <c r="AA18" s="25"/>
      <c r="AB18" s="25"/>
      <c r="AC18" s="25"/>
      <c r="AD18" s="25"/>
      <c r="AE18" s="25"/>
      <c r="AF18" s="25"/>
      <c r="AG18" s="25"/>
    </row>
    <row r="19" spans="1:33" ht="14.5">
      <c r="A19" s="74">
        <f ca="1">IFERROR(IF(Loan_Not_Paid*Values_Entered,Payment_Number,""), "")</f>
        <v>6</v>
      </c>
      <c r="B19" s="75">
        <f ca="1">IFERROR(IF(Loan_Not_Paid*Values_Entered,Payment_Date,""), "")</f>
        <v>45940</v>
      </c>
      <c r="C19" s="76">
        <f ca="1">IFERROR(IF(Loan_Not_Paid*Values_Entered,Beginning_Balance,""), "")</f>
        <v>20779.771707106873</v>
      </c>
      <c r="D19" s="76">
        <f ca="1">IFERROR(IF(Loan_Not_Paid*Values_Entered,Monthly_Payment,""), "")</f>
        <v>466.67608947837732</v>
      </c>
      <c r="E19" s="76">
        <f ca="1">IFERROR(IF(Loan_Not_Paid*Values_Entered,Principal,""), "")</f>
        <v>46.751536230592642</v>
      </c>
      <c r="F19" s="76">
        <f ca="1">IFERROR(IF(Loan_Not_Paid*Values_Entered,Interest,""), "")</f>
        <v>419.92455324778462</v>
      </c>
      <c r="G19" s="77">
        <f ca="1">IFERROR(IF(Loan_Not_Paid*Values_Entered,Ending_Balance,""), "")</f>
        <v>20733.02017087628</v>
      </c>
      <c r="I19" s="25"/>
      <c r="J19" s="25"/>
      <c r="K19" s="25"/>
      <c r="L19" s="25"/>
      <c r="M19" s="25"/>
      <c r="N19" s="25"/>
      <c r="O19" s="25"/>
      <c r="P19" s="25"/>
      <c r="Q19" s="25"/>
      <c r="R19" s="25"/>
      <c r="S19" s="25"/>
      <c r="T19" s="25"/>
      <c r="U19" s="25"/>
      <c r="V19" s="25"/>
      <c r="W19" s="25"/>
      <c r="X19" s="25"/>
      <c r="Y19" s="25"/>
      <c r="Z19" s="25"/>
      <c r="AA19" s="25"/>
      <c r="AB19" s="25"/>
      <c r="AC19" s="25"/>
      <c r="AD19" s="25"/>
      <c r="AE19" s="25"/>
      <c r="AF19" s="25"/>
      <c r="AG19" s="25"/>
    </row>
    <row r="20" spans="1:33" ht="14.5">
      <c r="A20" s="74">
        <f ca="1">IFERROR(IF(Loan_Not_Paid*Values_Entered,Payment_Number,""), "")</f>
        <v>7</v>
      </c>
      <c r="B20" s="75">
        <f ca="1">IFERROR(IF(Loan_Not_Paid*Values_Entered,Payment_Date,""), "")</f>
        <v>45971</v>
      </c>
      <c r="C20" s="76">
        <f ca="1">IFERROR(IF(Loan_Not_Paid*Values_Entered,Beginning_Balance,""), "")</f>
        <v>20733.02017087628</v>
      </c>
      <c r="D20" s="76">
        <f ca="1">IFERROR(IF(Loan_Not_Paid*Values_Entered,Monthly_Payment,""), "")</f>
        <v>466.67608947837732</v>
      </c>
      <c r="E20" s="76">
        <f ca="1">IFERROR(IF(Loan_Not_Paid*Values_Entered,Principal,""), "")</f>
        <v>47.696306858585857</v>
      </c>
      <c r="F20" s="76">
        <f ca="1">IFERROR(IF(Loan_Not_Paid*Values_Entered,Interest,""), "")</f>
        <v>418.97978261979148</v>
      </c>
      <c r="G20" s="77">
        <f ca="1">IFERROR(IF(Loan_Not_Paid*Values_Entered,Ending_Balance,""), "")</f>
        <v>20685.32386401769</v>
      </c>
      <c r="I20" s="25"/>
      <c r="J20" s="25"/>
      <c r="K20" s="25"/>
      <c r="L20" s="25"/>
      <c r="M20" s="25"/>
      <c r="N20" s="25"/>
      <c r="O20" s="25"/>
      <c r="P20" s="25"/>
      <c r="Q20" s="25"/>
      <c r="R20" s="25"/>
      <c r="S20" s="25"/>
      <c r="T20" s="25"/>
      <c r="U20" s="25"/>
      <c r="V20" s="25"/>
      <c r="W20" s="25"/>
      <c r="X20" s="25"/>
      <c r="Y20" s="25"/>
      <c r="Z20" s="25"/>
      <c r="AA20" s="25"/>
      <c r="AB20" s="25"/>
      <c r="AC20" s="25"/>
      <c r="AD20" s="25"/>
      <c r="AE20" s="25"/>
      <c r="AF20" s="25"/>
      <c r="AG20" s="25"/>
    </row>
    <row r="21" spans="1:33" ht="14.5">
      <c r="A21" s="74">
        <f ca="1">IFERROR(IF(Loan_Not_Paid*Values_Entered,Payment_Number,""), "")</f>
        <v>8</v>
      </c>
      <c r="B21" s="75">
        <f ca="1">IFERROR(IF(Loan_Not_Paid*Values_Entered,Payment_Date,""), "")</f>
        <v>46001</v>
      </c>
      <c r="C21" s="76">
        <f ca="1">IFERROR(IF(Loan_Not_Paid*Values_Entered,Beginning_Balance,""), "")</f>
        <v>20685.32386401769</v>
      </c>
      <c r="D21" s="76">
        <f ca="1">IFERROR(IF(Loan_Not_Paid*Values_Entered,Monthly_Payment,""), "")</f>
        <v>466.67608947837732</v>
      </c>
      <c r="E21" s="76">
        <f ca="1">IFERROR(IF(Loan_Not_Paid*Values_Entered,Principal,""), "")</f>
        <v>48.660169726353118</v>
      </c>
      <c r="F21" s="76">
        <f ca="1">IFERROR(IF(Loan_Not_Paid*Values_Entered,Interest,""), "")</f>
        <v>418.01591975202416</v>
      </c>
      <c r="G21" s="77">
        <f ca="1">IFERROR(IF(Loan_Not_Paid*Values_Entered,Ending_Balance,""), "")</f>
        <v>20636.663694291339</v>
      </c>
      <c r="I21" s="25"/>
      <c r="J21" s="25"/>
      <c r="K21" s="25"/>
      <c r="L21" s="25"/>
      <c r="M21" s="25"/>
      <c r="N21" s="25"/>
      <c r="O21" s="25"/>
      <c r="P21" s="25"/>
      <c r="Q21" s="25"/>
      <c r="R21" s="25"/>
      <c r="S21" s="25"/>
      <c r="T21" s="25"/>
      <c r="U21" s="25"/>
      <c r="V21" s="25"/>
      <c r="W21" s="25"/>
      <c r="X21" s="25"/>
      <c r="Y21" s="25"/>
      <c r="Z21" s="25"/>
      <c r="AA21" s="25"/>
      <c r="AB21" s="25"/>
      <c r="AC21" s="25"/>
      <c r="AD21" s="25"/>
      <c r="AE21" s="25"/>
      <c r="AF21" s="25"/>
      <c r="AG21" s="25"/>
    </row>
    <row r="22" spans="1:33" ht="14.5">
      <c r="A22" s="74">
        <f ca="1">IFERROR(IF(Loan_Not_Paid*Values_Entered,Payment_Number,""), "")</f>
        <v>9</v>
      </c>
      <c r="B22" s="75">
        <f ca="1">IFERROR(IF(Loan_Not_Paid*Values_Entered,Payment_Date,""), "")</f>
        <v>46032</v>
      </c>
      <c r="C22" s="76">
        <f ca="1">IFERROR(IF(Loan_Not_Paid*Values_Entered,Beginning_Balance,""), "")</f>
        <v>20636.663694291339</v>
      </c>
      <c r="D22" s="76">
        <f ca="1">IFERROR(IF(Loan_Not_Paid*Values_Entered,Monthly_Payment,""), "")</f>
        <v>466.67608947837732</v>
      </c>
      <c r="E22" s="76">
        <f ca="1">IFERROR(IF(Loan_Not_Paid*Values_Entered,Principal,""), "")</f>
        <v>49.643510656239826</v>
      </c>
      <c r="F22" s="76">
        <f ca="1">IFERROR(IF(Loan_Not_Paid*Values_Entered,Interest,""), "")</f>
        <v>417.03257882213745</v>
      </c>
      <c r="G22" s="77">
        <f ca="1">IFERROR(IF(Loan_Not_Paid*Values_Entered,Ending_Balance,""), "")</f>
        <v>20587.020183635097</v>
      </c>
      <c r="I22" s="25"/>
      <c r="J22" s="25"/>
      <c r="K22" s="25"/>
      <c r="L22" s="25"/>
      <c r="M22" s="25"/>
      <c r="N22" s="25"/>
      <c r="O22" s="25"/>
      <c r="P22" s="25"/>
      <c r="Q22" s="25"/>
      <c r="R22" s="25"/>
      <c r="S22" s="25"/>
      <c r="T22" s="25"/>
      <c r="U22" s="25"/>
      <c r="V22" s="25"/>
      <c r="W22" s="25"/>
      <c r="X22" s="25"/>
      <c r="Y22" s="25"/>
      <c r="Z22" s="25"/>
      <c r="AA22" s="25"/>
      <c r="AB22" s="25"/>
      <c r="AC22" s="25"/>
      <c r="AD22" s="25"/>
      <c r="AE22" s="25"/>
      <c r="AF22" s="25"/>
      <c r="AG22" s="25"/>
    </row>
    <row r="23" spans="1:33" ht="14.5">
      <c r="A23" s="74">
        <f ca="1">IFERROR(IF(Loan_Not_Paid*Values_Entered,Payment_Number,""), "")</f>
        <v>10</v>
      </c>
      <c r="B23" s="75">
        <f ca="1">IFERROR(IF(Loan_Not_Paid*Values_Entered,Payment_Date,""), "")</f>
        <v>46063</v>
      </c>
      <c r="C23" s="76">
        <f ca="1">IFERROR(IF(Loan_Not_Paid*Values_Entered,Beginning_Balance,""), "")</f>
        <v>20587.020183635097</v>
      </c>
      <c r="D23" s="76">
        <f ca="1">IFERROR(IF(Loan_Not_Paid*Values_Entered,Monthly_Payment,""), "")</f>
        <v>466.67608947837732</v>
      </c>
      <c r="E23" s="76">
        <f ca="1">IFERROR(IF(Loan_Not_Paid*Values_Entered,Principal,""), "")</f>
        <v>50.646723267418011</v>
      </c>
      <c r="F23" s="76">
        <f ca="1">IFERROR(IF(Loan_Not_Paid*Values_Entered,Interest,""), "")</f>
        <v>416.02936621095927</v>
      </c>
      <c r="G23" s="77">
        <f ca="1">IFERROR(IF(Loan_Not_Paid*Values_Entered,Ending_Balance,""), "")</f>
        <v>20536.373460367682</v>
      </c>
      <c r="I23" s="25"/>
      <c r="J23" s="25"/>
      <c r="K23" s="25"/>
      <c r="L23" s="25"/>
      <c r="M23" s="25"/>
      <c r="N23" s="25"/>
      <c r="O23" s="25"/>
      <c r="P23" s="25"/>
      <c r="Q23" s="25"/>
      <c r="R23" s="25"/>
      <c r="S23" s="25"/>
      <c r="T23" s="25"/>
      <c r="U23" s="25"/>
      <c r="V23" s="25"/>
      <c r="W23" s="25"/>
      <c r="X23" s="25"/>
      <c r="Y23" s="25"/>
      <c r="Z23" s="25"/>
      <c r="AA23" s="25"/>
      <c r="AB23" s="25"/>
      <c r="AC23" s="25"/>
      <c r="AD23" s="25"/>
      <c r="AE23" s="25"/>
      <c r="AF23" s="25"/>
      <c r="AG23" s="25"/>
    </row>
    <row r="24" spans="1:33" ht="14.5">
      <c r="A24" s="74">
        <f ca="1">IFERROR(IF(Loan_Not_Paid*Values_Entered,Payment_Number,""), "")</f>
        <v>11</v>
      </c>
      <c r="B24" s="75">
        <f ca="1">IFERROR(IF(Loan_Not_Paid*Values_Entered,Payment_Date,""), "")</f>
        <v>46091</v>
      </c>
      <c r="C24" s="76">
        <f ca="1">IFERROR(IF(Loan_Not_Paid*Values_Entered,Beginning_Balance,""), "")</f>
        <v>20536.373460367682</v>
      </c>
      <c r="D24" s="76">
        <f ca="1">IFERROR(IF(Loan_Not_Paid*Values_Entered,Monthly_Payment,""), "")</f>
        <v>466.67608947837732</v>
      </c>
      <c r="E24" s="76">
        <f ca="1">IFERROR(IF(Loan_Not_Paid*Values_Entered,Principal,""), "")</f>
        <v>51.670209133447074</v>
      </c>
      <c r="F24" s="76">
        <f ca="1">IFERROR(IF(Loan_Not_Paid*Values_Entered,Interest,""), "")</f>
        <v>415.00588034493023</v>
      </c>
      <c r="G24" s="77">
        <f ca="1">IFERROR(IF(Loan_Not_Paid*Values_Entered,Ending_Balance,""), "")</f>
        <v>20484.703251234234</v>
      </c>
      <c r="I24" s="25"/>
      <c r="J24" s="25"/>
      <c r="K24" s="25"/>
      <c r="L24" s="25"/>
      <c r="M24" s="25"/>
      <c r="N24" s="25"/>
      <c r="O24" s="25"/>
      <c r="P24" s="25"/>
      <c r="Q24" s="25"/>
      <c r="R24" s="25"/>
      <c r="S24" s="25"/>
      <c r="T24" s="25"/>
      <c r="U24" s="25"/>
      <c r="V24" s="25"/>
      <c r="W24" s="25"/>
      <c r="X24" s="25"/>
      <c r="Y24" s="25"/>
      <c r="Z24" s="25"/>
      <c r="AA24" s="25"/>
      <c r="AB24" s="25"/>
      <c r="AC24" s="25"/>
      <c r="AD24" s="25"/>
      <c r="AE24" s="25"/>
      <c r="AF24" s="25"/>
      <c r="AG24" s="25"/>
    </row>
    <row r="25" spans="1:33" ht="14.5">
      <c r="A25" s="74">
        <f ca="1">IFERROR(IF(Loan_Not_Paid*Values_Entered,Payment_Number,""), "")</f>
        <v>12</v>
      </c>
      <c r="B25" s="75">
        <f ca="1">IFERROR(IF(Loan_Not_Paid*Values_Entered,Payment_Date,""), "")</f>
        <v>46122</v>
      </c>
      <c r="C25" s="76">
        <f ca="1">IFERROR(IF(Loan_Not_Paid*Values_Entered,Beginning_Balance,""), "")</f>
        <v>20484.703251234234</v>
      </c>
      <c r="D25" s="76">
        <f ca="1">IFERROR(IF(Loan_Not_Paid*Values_Entered,Monthly_Payment,""), "")</f>
        <v>466.67608947837732</v>
      </c>
      <c r="E25" s="76">
        <f ca="1">IFERROR(IF(Loan_Not_Paid*Values_Entered,Principal,""), "")</f>
        <v>52.714377943018839</v>
      </c>
      <c r="F25" s="76">
        <f ca="1">IFERROR(IF(Loan_Not_Paid*Values_Entered,Interest,""), "")</f>
        <v>413.96171153535846</v>
      </c>
      <c r="G25" s="77">
        <f ca="1">IFERROR(IF(Loan_Not_Paid*Values_Entered,Ending_Balance,""), "")</f>
        <v>20431.988873291215</v>
      </c>
      <c r="I25" s="25"/>
      <c r="J25" s="25"/>
      <c r="K25" s="25"/>
      <c r="L25" s="25"/>
      <c r="M25" s="25"/>
      <c r="N25" s="25"/>
      <c r="O25" s="25"/>
      <c r="P25" s="25"/>
      <c r="Q25" s="25"/>
      <c r="R25" s="25"/>
      <c r="S25" s="25"/>
      <c r="T25" s="25"/>
      <c r="U25" s="25"/>
      <c r="V25" s="25"/>
      <c r="W25" s="25"/>
      <c r="X25" s="25"/>
      <c r="Y25" s="25"/>
      <c r="Z25" s="25"/>
      <c r="AA25" s="25"/>
      <c r="AB25" s="25"/>
      <c r="AC25" s="25"/>
      <c r="AD25" s="25"/>
      <c r="AE25" s="25"/>
      <c r="AF25" s="25"/>
      <c r="AG25" s="25"/>
    </row>
    <row r="26" spans="1:33" ht="14.5">
      <c r="A26" s="74">
        <f ca="1">IFERROR(IF(Loan_Not_Paid*Values_Entered,Payment_Number,""), "")</f>
        <v>13</v>
      </c>
      <c r="B26" s="75">
        <f ca="1">IFERROR(IF(Loan_Not_Paid*Values_Entered,Payment_Date,""), "")</f>
        <v>46152</v>
      </c>
      <c r="C26" s="76">
        <f ca="1">IFERROR(IF(Loan_Not_Paid*Values_Entered,Beginning_Balance,""), "")</f>
        <v>20431.988873291215</v>
      </c>
      <c r="D26" s="76">
        <f ca="1">IFERROR(IF(Loan_Not_Paid*Values_Entered,Monthly_Payment,""), "")</f>
        <v>466.67608947837732</v>
      </c>
      <c r="E26" s="76">
        <f ca="1">IFERROR(IF(Loan_Not_Paid*Values_Entered,Principal,""), "")</f>
        <v>53.779647663950684</v>
      </c>
      <c r="F26" s="76">
        <f ca="1">IFERROR(IF(Loan_Not_Paid*Values_Entered,Interest,""), "")</f>
        <v>412.89644181442662</v>
      </c>
      <c r="G26" s="77">
        <f ca="1">IFERROR(IF(Loan_Not_Paid*Values_Entered,Ending_Balance,""), "")</f>
        <v>20378.209225627263</v>
      </c>
      <c r="I26" s="25"/>
      <c r="J26" s="25"/>
      <c r="K26" s="25"/>
      <c r="L26" s="25"/>
      <c r="M26" s="25"/>
      <c r="N26" s="25"/>
      <c r="O26" s="25"/>
      <c r="P26" s="25"/>
      <c r="Q26" s="25"/>
      <c r="R26" s="25"/>
      <c r="S26" s="25"/>
      <c r="T26" s="25"/>
      <c r="U26" s="25"/>
      <c r="V26" s="25"/>
      <c r="W26" s="25"/>
      <c r="X26" s="25"/>
      <c r="Y26" s="25"/>
      <c r="Z26" s="25"/>
      <c r="AA26" s="25"/>
      <c r="AB26" s="25"/>
      <c r="AC26" s="25"/>
      <c r="AD26" s="25"/>
      <c r="AE26" s="25"/>
      <c r="AF26" s="25"/>
      <c r="AG26" s="25"/>
    </row>
    <row r="27" spans="1:33" ht="14.5">
      <c r="A27" s="74">
        <f ca="1">IFERROR(IF(Loan_Not_Paid*Values_Entered,Payment_Number,""), "")</f>
        <v>14</v>
      </c>
      <c r="B27" s="75">
        <f ca="1">IFERROR(IF(Loan_Not_Paid*Values_Entered,Payment_Date,""), "")</f>
        <v>46183</v>
      </c>
      <c r="C27" s="76">
        <f ca="1">IFERROR(IF(Loan_Not_Paid*Values_Entered,Beginning_Balance,""), "")</f>
        <v>20378.209225627263</v>
      </c>
      <c r="D27" s="76">
        <f ca="1">IFERROR(IF(Loan_Not_Paid*Values_Entered,Monthly_Payment,""), "")</f>
        <v>466.67608947837732</v>
      </c>
      <c r="E27" s="76">
        <f ca="1">IFERROR(IF(Loan_Not_Paid*Values_Entered,Principal,""), "")</f>
        <v>54.866444710493013</v>
      </c>
      <c r="F27" s="76">
        <f ca="1">IFERROR(IF(Loan_Not_Paid*Values_Entered,Interest,""), "")</f>
        <v>411.80964476788432</v>
      </c>
      <c r="G27" s="77">
        <f ca="1">IFERROR(IF(Loan_Not_Paid*Values_Entered,Ending_Balance,""), "")</f>
        <v>20323.342780916773</v>
      </c>
      <c r="I27" s="25"/>
      <c r="J27" s="25"/>
      <c r="K27" s="25"/>
      <c r="L27" s="25"/>
      <c r="M27" s="25"/>
      <c r="N27" s="25"/>
      <c r="O27" s="25"/>
      <c r="P27" s="25"/>
      <c r="Q27" s="25"/>
      <c r="R27" s="25"/>
      <c r="S27" s="25"/>
      <c r="T27" s="25"/>
      <c r="U27" s="25"/>
      <c r="V27" s="25"/>
      <c r="W27" s="25"/>
      <c r="X27" s="25"/>
      <c r="Y27" s="25"/>
      <c r="Z27" s="25"/>
      <c r="AA27" s="25"/>
      <c r="AB27" s="25"/>
      <c r="AC27" s="25"/>
      <c r="AD27" s="25"/>
      <c r="AE27" s="25"/>
      <c r="AF27" s="25"/>
      <c r="AG27" s="25"/>
    </row>
    <row r="28" spans="1:33" ht="14.5">
      <c r="A28" s="74">
        <f ca="1">IFERROR(IF(Loan_Not_Paid*Values_Entered,Payment_Number,""), "")</f>
        <v>15</v>
      </c>
      <c r="B28" s="75">
        <f ca="1">IFERROR(IF(Loan_Not_Paid*Values_Entered,Payment_Date,""), "")</f>
        <v>46213</v>
      </c>
      <c r="C28" s="76">
        <f ca="1">IFERROR(IF(Loan_Not_Paid*Values_Entered,Beginning_Balance,""), "")</f>
        <v>20323.342780916773</v>
      </c>
      <c r="D28" s="76">
        <f ca="1">IFERROR(IF(Loan_Not_Paid*Values_Entered,Monthly_Payment,""), "")</f>
        <v>466.67608947837732</v>
      </c>
      <c r="E28" s="76">
        <f ca="1">IFERROR(IF(Loan_Not_Paid*Values_Entered,Principal,""), "")</f>
        <v>55.975204114017558</v>
      </c>
      <c r="F28" s="76">
        <f ca="1">IFERROR(IF(Loan_Not_Paid*Values_Entered,Interest,""), "")</f>
        <v>410.70088536435975</v>
      </c>
      <c r="G28" s="77">
        <f ca="1">IFERROR(IF(Loan_Not_Paid*Values_Entered,Ending_Balance,""), "")</f>
        <v>20267.367576802753</v>
      </c>
      <c r="I28" s="25"/>
      <c r="J28" s="25"/>
      <c r="K28" s="25"/>
      <c r="L28" s="25"/>
      <c r="M28" s="25"/>
      <c r="N28" s="25"/>
      <c r="O28" s="25"/>
      <c r="P28" s="25"/>
      <c r="Q28" s="25"/>
      <c r="R28" s="25"/>
      <c r="S28" s="25"/>
      <c r="T28" s="25"/>
      <c r="U28" s="25"/>
      <c r="V28" s="25"/>
      <c r="W28" s="25"/>
      <c r="X28" s="25"/>
      <c r="Y28" s="25"/>
      <c r="Z28" s="25"/>
      <c r="AA28" s="25"/>
      <c r="AB28" s="25"/>
      <c r="AC28" s="25"/>
      <c r="AD28" s="25"/>
      <c r="AE28" s="25"/>
      <c r="AF28" s="25"/>
      <c r="AG28" s="25"/>
    </row>
    <row r="29" spans="1:33" ht="14.5">
      <c r="A29" s="74">
        <f ca="1">IFERROR(IF(Loan_Not_Paid*Values_Entered,Payment_Number,""), "")</f>
        <v>16</v>
      </c>
      <c r="B29" s="75">
        <f ca="1">IFERROR(IF(Loan_Not_Paid*Values_Entered,Payment_Date,""), "")</f>
        <v>46244</v>
      </c>
      <c r="C29" s="76">
        <f ca="1">IFERROR(IF(Loan_Not_Paid*Values_Entered,Beginning_Balance,""), "")</f>
        <v>20267.367576802753</v>
      </c>
      <c r="D29" s="76">
        <f ca="1">IFERROR(IF(Loan_Not_Paid*Values_Entered,Monthly_Payment,""), "")</f>
        <v>466.67608947837732</v>
      </c>
      <c r="E29" s="76">
        <f ca="1">IFERROR(IF(Loan_Not_Paid*Values_Entered,Principal,""), "")</f>
        <v>57.106369697154989</v>
      </c>
      <c r="F29" s="76">
        <f ca="1">IFERROR(IF(Loan_Not_Paid*Values_Entered,Interest,""), "")</f>
        <v>409.56971978122232</v>
      </c>
      <c r="G29" s="77">
        <f ca="1">IFERROR(IF(Loan_Not_Paid*Values_Entered,Ending_Balance,""), "")</f>
        <v>20210.261207105596</v>
      </c>
      <c r="I29" s="25"/>
      <c r="J29" s="25"/>
      <c r="K29" s="25"/>
      <c r="L29" s="25"/>
      <c r="M29" s="25"/>
      <c r="N29" s="25"/>
      <c r="O29" s="25"/>
      <c r="P29" s="25"/>
      <c r="Q29" s="25"/>
      <c r="R29" s="25"/>
      <c r="S29" s="25"/>
      <c r="T29" s="25"/>
      <c r="U29" s="25"/>
      <c r="V29" s="25"/>
      <c r="W29" s="25"/>
      <c r="X29" s="25"/>
      <c r="Y29" s="25"/>
      <c r="Z29" s="25"/>
      <c r="AA29" s="25"/>
      <c r="AB29" s="25"/>
      <c r="AC29" s="25"/>
      <c r="AD29" s="25"/>
      <c r="AE29" s="25"/>
      <c r="AF29" s="25"/>
      <c r="AG29" s="25"/>
    </row>
    <row r="30" spans="1:33" ht="14.5">
      <c r="A30" s="74">
        <f ca="1">IFERROR(IF(Loan_Not_Paid*Values_Entered,Payment_Number,""), "")</f>
        <v>17</v>
      </c>
      <c r="B30" s="75">
        <f ca="1">IFERROR(IF(Loan_Not_Paid*Values_Entered,Payment_Date,""), "")</f>
        <v>46275</v>
      </c>
      <c r="C30" s="76">
        <f ca="1">IFERROR(IF(Loan_Not_Paid*Values_Entered,Beginning_Balance,""), "")</f>
        <v>20210.261207105596</v>
      </c>
      <c r="D30" s="76">
        <f ca="1">IFERROR(IF(Loan_Not_Paid*Values_Entered,Monthly_Payment,""), "")</f>
        <v>466.67608947837732</v>
      </c>
      <c r="E30" s="76">
        <f ca="1">IFERROR(IF(Loan_Not_Paid*Values_Entered,Principal,""), "")</f>
        <v>58.260394251451658</v>
      </c>
      <c r="F30" s="76">
        <f ca="1">IFERROR(IF(Loan_Not_Paid*Values_Entered,Interest,""), "")</f>
        <v>408.41569522692566</v>
      </c>
      <c r="G30" s="77">
        <f ca="1">IFERROR(IF(Loan_Not_Paid*Values_Entered,Ending_Balance,""), "")</f>
        <v>20152.000812854145</v>
      </c>
      <c r="I30" s="25"/>
      <c r="J30" s="25"/>
      <c r="K30" s="25"/>
      <c r="L30" s="25"/>
      <c r="M30" s="25"/>
      <c r="N30" s="25"/>
      <c r="O30" s="25"/>
      <c r="P30" s="25"/>
      <c r="Q30" s="25"/>
      <c r="R30" s="25"/>
      <c r="S30" s="25"/>
      <c r="T30" s="25"/>
      <c r="U30" s="25"/>
      <c r="V30" s="25"/>
      <c r="W30" s="25"/>
      <c r="X30" s="25"/>
      <c r="Y30" s="25"/>
      <c r="Z30" s="25"/>
      <c r="AA30" s="25"/>
      <c r="AB30" s="25"/>
      <c r="AC30" s="25"/>
      <c r="AD30" s="25"/>
      <c r="AE30" s="25"/>
      <c r="AF30" s="25"/>
      <c r="AG30" s="25"/>
    </row>
    <row r="31" spans="1:33" ht="14.5">
      <c r="A31" s="74">
        <f ca="1">IFERROR(IF(Loan_Not_Paid*Values_Entered,Payment_Number,""), "")</f>
        <v>18</v>
      </c>
      <c r="B31" s="75">
        <f ca="1">IFERROR(IF(Loan_Not_Paid*Values_Entered,Payment_Date,""), "")</f>
        <v>46305</v>
      </c>
      <c r="C31" s="76">
        <f ca="1">IFERROR(IF(Loan_Not_Paid*Values_Entered,Beginning_Balance,""), "")</f>
        <v>20152.000812854145</v>
      </c>
      <c r="D31" s="76">
        <f ca="1">IFERROR(IF(Loan_Not_Paid*Values_Entered,Monthly_Payment,""), "")</f>
        <v>466.67608947837732</v>
      </c>
      <c r="E31" s="76">
        <f ca="1">IFERROR(IF(Loan_Not_Paid*Values_Entered,Principal,""), "")</f>
        <v>59.437739718616413</v>
      </c>
      <c r="F31" s="76">
        <f ca="1">IFERROR(IF(Loan_Not_Paid*Values_Entered,Interest,""), "")</f>
        <v>407.23834975976087</v>
      </c>
      <c r="G31" s="77">
        <f ca="1">IFERROR(IF(Loan_Not_Paid*Values_Entered,Ending_Balance,""), "")</f>
        <v>20092.563073135527</v>
      </c>
      <c r="I31" s="25"/>
      <c r="J31" s="25"/>
      <c r="K31" s="25"/>
      <c r="L31" s="25"/>
      <c r="M31" s="25"/>
      <c r="N31" s="25"/>
      <c r="O31" s="25"/>
      <c r="P31" s="25"/>
      <c r="Q31" s="25"/>
      <c r="R31" s="25"/>
      <c r="S31" s="25"/>
      <c r="T31" s="25"/>
      <c r="U31" s="25"/>
      <c r="V31" s="25"/>
      <c r="W31" s="25"/>
      <c r="X31" s="25"/>
      <c r="Y31" s="25"/>
      <c r="Z31" s="25"/>
      <c r="AA31" s="25"/>
      <c r="AB31" s="25"/>
      <c r="AC31" s="25"/>
      <c r="AD31" s="25"/>
      <c r="AE31" s="25"/>
      <c r="AF31" s="25"/>
      <c r="AG31" s="25"/>
    </row>
    <row r="32" spans="1:33" ht="14.5">
      <c r="A32" s="74">
        <f ca="1">IFERROR(IF(Loan_Not_Paid*Values_Entered,Payment_Number,""), "")</f>
        <v>19</v>
      </c>
      <c r="B32" s="75">
        <f ca="1">IFERROR(IF(Loan_Not_Paid*Values_Entered,Payment_Date,""), "")</f>
        <v>46336</v>
      </c>
      <c r="C32" s="76">
        <f ca="1">IFERROR(IF(Loan_Not_Paid*Values_Entered,Beginning_Balance,""), "")</f>
        <v>20092.563073135527</v>
      </c>
      <c r="D32" s="76">
        <f ca="1">IFERROR(IF(Loan_Not_Paid*Values_Entered,Monthly_Payment,""), "")</f>
        <v>466.67608947837732</v>
      </c>
      <c r="E32" s="76">
        <f ca="1">IFERROR(IF(Loan_Not_Paid*Values_Entered,Principal,""), "")</f>
        <v>60.638877375430113</v>
      </c>
      <c r="F32" s="76">
        <f ca="1">IFERROR(IF(Loan_Not_Paid*Values_Entered,Interest,""), "")</f>
        <v>406.03721210294719</v>
      </c>
      <c r="G32" s="77">
        <f ca="1">IFERROR(IF(Loan_Not_Paid*Values_Entered,Ending_Balance,""), "")</f>
        <v>20031.924195760097</v>
      </c>
      <c r="I32" s="25"/>
      <c r="J32" s="25"/>
      <c r="K32" s="25"/>
      <c r="L32" s="25"/>
      <c r="M32" s="25"/>
      <c r="N32" s="25"/>
      <c r="O32" s="25"/>
      <c r="P32" s="25"/>
      <c r="Q32" s="25"/>
      <c r="R32" s="25"/>
      <c r="S32" s="25"/>
      <c r="T32" s="25"/>
      <c r="U32" s="25"/>
      <c r="V32" s="25"/>
      <c r="W32" s="25"/>
      <c r="X32" s="25"/>
      <c r="Y32" s="25"/>
      <c r="Z32" s="25"/>
      <c r="AA32" s="25"/>
      <c r="AB32" s="25"/>
      <c r="AC32" s="25"/>
      <c r="AD32" s="25"/>
      <c r="AE32" s="25"/>
      <c r="AF32" s="25"/>
      <c r="AG32" s="25"/>
    </row>
    <row r="33" spans="1:33" ht="14.5">
      <c r="A33" s="74">
        <f ca="1">IFERROR(IF(Loan_Not_Paid*Values_Entered,Payment_Number,""), "")</f>
        <v>20</v>
      </c>
      <c r="B33" s="75">
        <f ca="1">IFERROR(IF(Loan_Not_Paid*Values_Entered,Payment_Date,""), "")</f>
        <v>46366</v>
      </c>
      <c r="C33" s="76">
        <f ca="1">IFERROR(IF(Loan_Not_Paid*Values_Entered,Beginning_Balance,""), "")</f>
        <v>20031.924195760097</v>
      </c>
      <c r="D33" s="76">
        <f ca="1">IFERROR(IF(Loan_Not_Paid*Values_Entered,Monthly_Payment,""), "")</f>
        <v>466.67608947837732</v>
      </c>
      <c r="E33" s="76">
        <f ca="1">IFERROR(IF(Loan_Not_Paid*Values_Entered,Principal,""), "")</f>
        <v>61.864288022391953</v>
      </c>
      <c r="F33" s="76">
        <f ca="1">IFERROR(IF(Loan_Not_Paid*Values_Entered,Interest,""), "")</f>
        <v>404.81180145598535</v>
      </c>
      <c r="G33" s="77">
        <f ca="1">IFERROR(IF(Loan_Not_Paid*Values_Entered,Ending_Balance,""), "")</f>
        <v>19970.059907737708</v>
      </c>
      <c r="I33" s="25"/>
      <c r="J33" s="25"/>
      <c r="K33" s="25"/>
      <c r="L33" s="25"/>
      <c r="M33" s="25"/>
      <c r="N33" s="25"/>
      <c r="O33" s="25"/>
      <c r="P33" s="25"/>
      <c r="Q33" s="25"/>
      <c r="R33" s="25"/>
      <c r="S33" s="25"/>
      <c r="T33" s="25"/>
      <c r="U33" s="25"/>
      <c r="V33" s="25"/>
      <c r="W33" s="25"/>
      <c r="X33" s="25"/>
      <c r="Y33" s="25"/>
      <c r="Z33" s="25"/>
      <c r="AA33" s="25"/>
      <c r="AB33" s="25"/>
      <c r="AC33" s="25"/>
      <c r="AD33" s="25"/>
      <c r="AE33" s="25"/>
      <c r="AF33" s="25"/>
      <c r="AG33" s="25"/>
    </row>
    <row r="34" spans="1:33" ht="14.5">
      <c r="A34" s="74">
        <f ca="1">IFERROR(IF(Loan_Not_Paid*Values_Entered,Payment_Number,""), "")</f>
        <v>21</v>
      </c>
      <c r="B34" s="75">
        <f ca="1">IFERROR(IF(Loan_Not_Paid*Values_Entered,Payment_Date,""), "")</f>
        <v>46397</v>
      </c>
      <c r="C34" s="76">
        <f ca="1">IFERROR(IF(Loan_Not_Paid*Values_Entered,Beginning_Balance,""), "")</f>
        <v>19970.059907737708</v>
      </c>
      <c r="D34" s="76">
        <f ca="1">IFERROR(IF(Loan_Not_Paid*Values_Entered,Monthly_Payment,""), "")</f>
        <v>466.67608947837732</v>
      </c>
      <c r="E34" s="76">
        <f ca="1">IFERROR(IF(Loan_Not_Paid*Values_Entered,Principal,""), "")</f>
        <v>63.114462176177788</v>
      </c>
      <c r="F34" s="76">
        <f ca="1">IFERROR(IF(Loan_Not_Paid*Values_Entered,Interest,""), "")</f>
        <v>403.5616273021995</v>
      </c>
      <c r="G34" s="77">
        <f ca="1">IFERROR(IF(Loan_Not_Paid*Values_Entered,Ending_Balance,""), "")</f>
        <v>19906.945445561527</v>
      </c>
      <c r="I34" s="25"/>
      <c r="J34" s="25"/>
      <c r="K34" s="25"/>
      <c r="L34" s="25"/>
      <c r="M34" s="25"/>
      <c r="N34" s="25"/>
      <c r="O34" s="25"/>
      <c r="P34" s="25"/>
      <c r="Q34" s="25"/>
      <c r="R34" s="25"/>
      <c r="S34" s="25"/>
      <c r="T34" s="25"/>
      <c r="U34" s="25"/>
      <c r="V34" s="25"/>
      <c r="W34" s="25"/>
      <c r="X34" s="25"/>
      <c r="Y34" s="25"/>
      <c r="Z34" s="25"/>
      <c r="AA34" s="25"/>
      <c r="AB34" s="25"/>
      <c r="AC34" s="25"/>
      <c r="AD34" s="25"/>
      <c r="AE34" s="25"/>
      <c r="AF34" s="25"/>
      <c r="AG34" s="25"/>
    </row>
    <row r="35" spans="1:33" ht="14.5">
      <c r="A35" s="74">
        <f ca="1">IFERROR(IF(Loan_Not_Paid*Values_Entered,Payment_Number,""), "")</f>
        <v>22</v>
      </c>
      <c r="B35" s="75">
        <f ca="1">IFERROR(IF(Loan_Not_Paid*Values_Entered,Payment_Date,""), "")</f>
        <v>46428</v>
      </c>
      <c r="C35" s="76">
        <f ca="1">IFERROR(IF(Loan_Not_Paid*Values_Entered,Beginning_Balance,""), "")</f>
        <v>19906.945445561527</v>
      </c>
      <c r="D35" s="76">
        <f ca="1">IFERROR(IF(Loan_Not_Paid*Values_Entered,Monthly_Payment,""), "")</f>
        <v>466.67608947837732</v>
      </c>
      <c r="E35" s="76">
        <f ca="1">IFERROR(IF(Loan_Not_Paid*Values_Entered,Principal,""), "")</f>
        <v>64.389900265988047</v>
      </c>
      <c r="F35" s="76">
        <f ca="1">IFERROR(IF(Loan_Not_Paid*Values_Entered,Interest,""), "")</f>
        <v>402.28618921238927</v>
      </c>
      <c r="G35" s="77">
        <f ca="1">IFERROR(IF(Loan_Not_Paid*Values_Entered,Ending_Balance,""), "")</f>
        <v>19842.555545295541</v>
      </c>
      <c r="I35" s="25"/>
      <c r="J35" s="25"/>
      <c r="K35" s="25"/>
      <c r="L35" s="25"/>
      <c r="M35" s="25"/>
      <c r="N35" s="25"/>
      <c r="O35" s="25"/>
      <c r="P35" s="25"/>
      <c r="Q35" s="25"/>
      <c r="R35" s="25"/>
      <c r="S35" s="25"/>
      <c r="T35" s="25"/>
      <c r="U35" s="25"/>
      <c r="V35" s="25"/>
      <c r="W35" s="25"/>
      <c r="X35" s="25"/>
      <c r="Y35" s="25"/>
      <c r="Z35" s="25"/>
      <c r="AA35" s="25"/>
      <c r="AB35" s="25"/>
      <c r="AC35" s="25"/>
      <c r="AD35" s="25"/>
      <c r="AE35" s="25"/>
      <c r="AF35" s="25"/>
      <c r="AG35" s="25"/>
    </row>
    <row r="36" spans="1:33" ht="14.5">
      <c r="A36" s="74">
        <f ca="1">IFERROR(IF(Loan_Not_Paid*Values_Entered,Payment_Number,""), "")</f>
        <v>23</v>
      </c>
      <c r="B36" s="75">
        <f ca="1">IFERROR(IF(Loan_Not_Paid*Values_Entered,Payment_Date,""), "")</f>
        <v>46456</v>
      </c>
      <c r="C36" s="76">
        <f ca="1">IFERROR(IF(Loan_Not_Paid*Values_Entered,Beginning_Balance,""), "")</f>
        <v>19842.555545295541</v>
      </c>
      <c r="D36" s="76">
        <f ca="1">IFERROR(IF(Loan_Not_Paid*Values_Entered,Monthly_Payment,""), "")</f>
        <v>466.67608947837732</v>
      </c>
      <c r="E36" s="76">
        <f ca="1">IFERROR(IF(Loan_Not_Paid*Values_Entered,Principal,""), "")</f>
        <v>65.691112833863215</v>
      </c>
      <c r="F36" s="76">
        <f ca="1">IFERROR(IF(Loan_Not_Paid*Values_Entered,Interest,""), "")</f>
        <v>400.98497664451412</v>
      </c>
      <c r="G36" s="77">
        <f ca="1">IFERROR(IF(Loan_Not_Paid*Values_Entered,Ending_Balance,""), "")</f>
        <v>19776.864432461676</v>
      </c>
      <c r="I36" s="25"/>
      <c r="J36" s="25"/>
      <c r="K36" s="25"/>
      <c r="L36" s="25"/>
      <c r="M36" s="25"/>
      <c r="N36" s="25"/>
      <c r="O36" s="25"/>
      <c r="P36" s="25"/>
      <c r="Q36" s="25"/>
      <c r="R36" s="25"/>
      <c r="S36" s="25"/>
      <c r="T36" s="25"/>
      <c r="U36" s="25"/>
      <c r="V36" s="25"/>
      <c r="W36" s="25"/>
      <c r="X36" s="25"/>
      <c r="Y36" s="25"/>
      <c r="Z36" s="25"/>
      <c r="AA36" s="25"/>
      <c r="AB36" s="25"/>
      <c r="AC36" s="25"/>
      <c r="AD36" s="25"/>
      <c r="AE36" s="25"/>
      <c r="AF36" s="25"/>
      <c r="AG36" s="25"/>
    </row>
    <row r="37" spans="1:33" ht="14.5">
      <c r="A37" s="74">
        <f ca="1">IFERROR(IF(Loan_Not_Paid*Values_Entered,Payment_Number,""), "")</f>
        <v>24</v>
      </c>
      <c r="B37" s="75">
        <f ca="1">IFERROR(IF(Loan_Not_Paid*Values_Entered,Payment_Date,""), "")</f>
        <v>46487</v>
      </c>
      <c r="C37" s="76">
        <f ca="1">IFERROR(IF(Loan_Not_Paid*Values_Entered,Beginning_Balance,""), "")</f>
        <v>19776.864432461676</v>
      </c>
      <c r="D37" s="76">
        <f ca="1">IFERROR(IF(Loan_Not_Paid*Values_Entered,Monthly_Payment,""), "")</f>
        <v>466.67608947837732</v>
      </c>
      <c r="E37" s="76">
        <f ca="1">IFERROR(IF(Loan_Not_Paid*Values_Entered,Principal,""), "")</f>
        <v>67.01862073904752</v>
      </c>
      <c r="F37" s="76">
        <f ca="1">IFERROR(IF(Loan_Not_Paid*Values_Entered,Interest,""), "")</f>
        <v>399.65746873932983</v>
      </c>
      <c r="G37" s="77">
        <f ca="1">IFERROR(IF(Loan_Not_Paid*Values_Entered,Ending_Balance,""), "")</f>
        <v>19709.845811722633</v>
      </c>
      <c r="I37" s="25"/>
      <c r="J37" s="25"/>
      <c r="K37" s="25"/>
      <c r="L37" s="25"/>
      <c r="M37" s="25"/>
      <c r="N37" s="25"/>
      <c r="O37" s="25"/>
      <c r="P37" s="25"/>
      <c r="Q37" s="25"/>
      <c r="R37" s="25"/>
      <c r="S37" s="25"/>
      <c r="T37" s="25"/>
      <c r="U37" s="25"/>
      <c r="V37" s="25"/>
      <c r="W37" s="25"/>
      <c r="X37" s="25"/>
      <c r="Y37" s="25"/>
      <c r="Z37" s="25"/>
      <c r="AA37" s="25"/>
      <c r="AB37" s="25"/>
      <c r="AC37" s="25"/>
      <c r="AD37" s="25"/>
      <c r="AE37" s="25"/>
      <c r="AF37" s="25"/>
      <c r="AG37" s="25"/>
    </row>
    <row r="38" spans="1:33" ht="14.5">
      <c r="A38" s="74">
        <f ca="1">IFERROR(IF(Loan_Not_Paid*Values_Entered,Payment_Number,""), "")</f>
        <v>25</v>
      </c>
      <c r="B38" s="75">
        <f ca="1">IFERROR(IF(Loan_Not_Paid*Values_Entered,Payment_Date,""), "")</f>
        <v>46517</v>
      </c>
      <c r="C38" s="76">
        <f ca="1">IFERROR(IF(Loan_Not_Paid*Values_Entered,Beginning_Balance,""), "")</f>
        <v>19709.845811722633</v>
      </c>
      <c r="D38" s="76">
        <f ca="1">IFERROR(IF(Loan_Not_Paid*Values_Entered,Monthly_Payment,""), "")</f>
        <v>466.67608947837732</v>
      </c>
      <c r="E38" s="76">
        <f ca="1">IFERROR(IF(Loan_Not_Paid*Values_Entered,Principal,""), "")</f>
        <v>68.372955366482429</v>
      </c>
      <c r="F38" s="76">
        <f ca="1">IFERROR(IF(Loan_Not_Paid*Values_Entered,Interest,""), "")</f>
        <v>398.30313411189491</v>
      </c>
      <c r="G38" s="77">
        <f ca="1">IFERROR(IF(Loan_Not_Paid*Values_Entered,Ending_Balance,""), "")</f>
        <v>19641.472856356148</v>
      </c>
      <c r="I38" s="25"/>
      <c r="J38" s="25"/>
      <c r="K38" s="25"/>
      <c r="L38" s="25"/>
      <c r="M38" s="25"/>
      <c r="N38" s="25"/>
      <c r="O38" s="25"/>
      <c r="P38" s="25"/>
      <c r="Q38" s="25"/>
      <c r="R38" s="25"/>
      <c r="S38" s="25"/>
      <c r="T38" s="25"/>
      <c r="U38" s="25"/>
      <c r="V38" s="25"/>
      <c r="W38" s="25"/>
      <c r="X38" s="25"/>
      <c r="Y38" s="25"/>
      <c r="Z38" s="25"/>
      <c r="AA38" s="25"/>
      <c r="AB38" s="25"/>
      <c r="AC38" s="25"/>
      <c r="AD38" s="25"/>
      <c r="AE38" s="25"/>
      <c r="AF38" s="25"/>
      <c r="AG38" s="25"/>
    </row>
    <row r="39" spans="1:33" ht="14.5">
      <c r="A39" s="74">
        <f ca="1">IFERROR(IF(Loan_Not_Paid*Values_Entered,Payment_Number,""), "")</f>
        <v>26</v>
      </c>
      <c r="B39" s="75">
        <f ca="1">IFERROR(IF(Loan_Not_Paid*Values_Entered,Payment_Date,""), "")</f>
        <v>46548</v>
      </c>
      <c r="C39" s="76">
        <f ca="1">IFERROR(IF(Loan_Not_Paid*Values_Entered,Beginning_Balance,""), "")</f>
        <v>19641.472856356148</v>
      </c>
      <c r="D39" s="76">
        <f ca="1">IFERROR(IF(Loan_Not_Paid*Values_Entered,Monthly_Payment,""), "")</f>
        <v>466.67608947837732</v>
      </c>
      <c r="E39" s="76">
        <f ca="1">IFERROR(IF(Loan_Not_Paid*Values_Entered,Principal,""), "")</f>
        <v>69.754658839513453</v>
      </c>
      <c r="F39" s="76">
        <f ca="1">IFERROR(IF(Loan_Not_Paid*Values_Entered,Interest,""), "")</f>
        <v>396.92143063886385</v>
      </c>
      <c r="G39" s="77">
        <f ca="1">IFERROR(IF(Loan_Not_Paid*Values_Entered,Ending_Balance,""), "")</f>
        <v>19571.718197516631</v>
      </c>
      <c r="I39" s="25"/>
      <c r="J39" s="25"/>
      <c r="K39" s="25"/>
      <c r="L39" s="25"/>
      <c r="M39" s="25"/>
      <c r="N39" s="25"/>
      <c r="O39" s="25"/>
      <c r="P39" s="25"/>
      <c r="Q39" s="25"/>
      <c r="R39" s="25"/>
      <c r="S39" s="25"/>
      <c r="T39" s="25"/>
      <c r="U39" s="25"/>
      <c r="V39" s="25"/>
      <c r="W39" s="25"/>
      <c r="X39" s="25"/>
      <c r="Y39" s="25"/>
      <c r="Z39" s="25"/>
      <c r="AA39" s="25"/>
      <c r="AB39" s="25"/>
      <c r="AC39" s="25"/>
      <c r="AD39" s="25"/>
      <c r="AE39" s="25"/>
      <c r="AF39" s="25"/>
      <c r="AG39" s="25"/>
    </row>
    <row r="40" spans="1:33" ht="14.5">
      <c r="A40" s="74">
        <f ca="1">IFERROR(IF(Loan_Not_Paid*Values_Entered,Payment_Number,""), "")</f>
        <v>27</v>
      </c>
      <c r="B40" s="75">
        <f ca="1">IFERROR(IF(Loan_Not_Paid*Values_Entered,Payment_Date,""), "")</f>
        <v>46578</v>
      </c>
      <c r="C40" s="76">
        <f ca="1">IFERROR(IF(Loan_Not_Paid*Values_Entered,Beginning_Balance,""), "")</f>
        <v>19571.718197516631</v>
      </c>
      <c r="D40" s="76">
        <f ca="1">IFERROR(IF(Loan_Not_Paid*Values_Entered,Monthly_Payment,""), "")</f>
        <v>466.67608947837732</v>
      </c>
      <c r="E40" s="76">
        <f ca="1">IFERROR(IF(Loan_Not_Paid*Values_Entered,Principal,""), "")</f>
        <v>71.164284236895284</v>
      </c>
      <c r="F40" s="76">
        <f ca="1">IFERROR(IF(Loan_Not_Paid*Values_Entered,Interest,""), "")</f>
        <v>395.51180524148202</v>
      </c>
      <c r="G40" s="77">
        <f ca="1">IFERROR(IF(Loan_Not_Paid*Values_Entered,Ending_Balance,""), "")</f>
        <v>19500.553913279742</v>
      </c>
      <c r="I40" s="25"/>
      <c r="J40" s="25"/>
      <c r="K40" s="25"/>
      <c r="L40" s="25"/>
      <c r="M40" s="25"/>
      <c r="N40" s="25"/>
      <c r="O40" s="25"/>
      <c r="P40" s="25"/>
      <c r="Q40" s="25"/>
      <c r="R40" s="25"/>
      <c r="S40" s="25"/>
      <c r="T40" s="25"/>
      <c r="U40" s="25"/>
      <c r="V40" s="25"/>
      <c r="W40" s="25"/>
      <c r="X40" s="25"/>
      <c r="Y40" s="25"/>
      <c r="Z40" s="25"/>
      <c r="AA40" s="25"/>
      <c r="AB40" s="25"/>
      <c r="AC40" s="25"/>
      <c r="AD40" s="25"/>
      <c r="AE40" s="25"/>
      <c r="AF40" s="25"/>
      <c r="AG40" s="25"/>
    </row>
    <row r="41" spans="1:33" ht="14.5">
      <c r="A41" s="74">
        <f ca="1">IFERROR(IF(Loan_Not_Paid*Values_Entered,Payment_Number,""), "")</f>
        <v>28</v>
      </c>
      <c r="B41" s="75">
        <f ca="1">IFERROR(IF(Loan_Not_Paid*Values_Entered,Payment_Date,""), "")</f>
        <v>46609</v>
      </c>
      <c r="C41" s="76">
        <f ca="1">IFERROR(IF(Loan_Not_Paid*Values_Entered,Beginning_Balance,""), "")</f>
        <v>19500.553913279742</v>
      </c>
      <c r="D41" s="76">
        <f ca="1">IFERROR(IF(Loan_Not_Paid*Values_Entered,Monthly_Payment,""), "")</f>
        <v>466.67608947837732</v>
      </c>
      <c r="E41" s="76">
        <f ca="1">IFERROR(IF(Loan_Not_Paid*Values_Entered,Principal,""), "")</f>
        <v>72.602395814182529</v>
      </c>
      <c r="F41" s="76">
        <f ca="1">IFERROR(IF(Loan_Not_Paid*Values_Entered,Interest,""), "")</f>
        <v>394.07369366419476</v>
      </c>
      <c r="G41" s="77">
        <f ca="1">IFERROR(IF(Loan_Not_Paid*Values_Entered,Ending_Balance,""), "")</f>
        <v>19427.95151746555</v>
      </c>
      <c r="I41" s="25"/>
      <c r="J41" s="25"/>
      <c r="K41" s="25"/>
      <c r="L41" s="25"/>
      <c r="M41" s="25"/>
      <c r="N41" s="25"/>
      <c r="O41" s="25"/>
      <c r="P41" s="25"/>
      <c r="Q41" s="25"/>
      <c r="R41" s="25"/>
      <c r="S41" s="25"/>
      <c r="T41" s="25"/>
      <c r="U41" s="25"/>
      <c r="V41" s="25"/>
      <c r="W41" s="25"/>
      <c r="X41" s="25"/>
      <c r="Y41" s="25"/>
      <c r="Z41" s="25"/>
      <c r="AA41" s="25"/>
      <c r="AB41" s="25"/>
      <c r="AC41" s="25"/>
      <c r="AD41" s="25"/>
      <c r="AE41" s="25"/>
      <c r="AF41" s="25"/>
      <c r="AG41" s="25"/>
    </row>
    <row r="42" spans="1:33" ht="14.5">
      <c r="A42" s="74">
        <f ca="1">IFERROR(IF(Loan_Not_Paid*Values_Entered,Payment_Number,""), "")</f>
        <v>29</v>
      </c>
      <c r="B42" s="75">
        <f ca="1">IFERROR(IF(Loan_Not_Paid*Values_Entered,Payment_Date,""), "")</f>
        <v>46640</v>
      </c>
      <c r="C42" s="76">
        <f ca="1">IFERROR(IF(Loan_Not_Paid*Values_Entered,Beginning_Balance,""), "")</f>
        <v>19427.95151746555</v>
      </c>
      <c r="D42" s="76">
        <f ca="1">IFERROR(IF(Loan_Not_Paid*Values_Entered,Monthly_Payment,""), "")</f>
        <v>466.67608947837732</v>
      </c>
      <c r="E42" s="76">
        <f ca="1">IFERROR(IF(Loan_Not_Paid*Values_Entered,Principal,""), "")</f>
        <v>74.069569229594151</v>
      </c>
      <c r="F42" s="76">
        <f ca="1">IFERROR(IF(Loan_Not_Paid*Values_Entered,Interest,""), "")</f>
        <v>392.60652024878317</v>
      </c>
      <c r="G42" s="77">
        <f ca="1">IFERROR(IF(Loan_Not_Paid*Values_Entered,Ending_Balance,""), "")</f>
        <v>19353.881948235961</v>
      </c>
      <c r="I42" s="25"/>
      <c r="J42" s="25"/>
      <c r="K42" s="25"/>
      <c r="L42" s="25"/>
      <c r="M42" s="25"/>
      <c r="N42" s="25"/>
      <c r="O42" s="25"/>
      <c r="P42" s="25"/>
      <c r="Q42" s="25"/>
      <c r="R42" s="25"/>
      <c r="S42" s="25"/>
      <c r="T42" s="25"/>
      <c r="U42" s="25"/>
      <c r="V42" s="25"/>
      <c r="W42" s="25"/>
      <c r="X42" s="25"/>
      <c r="Y42" s="25"/>
      <c r="Z42" s="25"/>
      <c r="AA42" s="25"/>
      <c r="AB42" s="25"/>
      <c r="AC42" s="25"/>
      <c r="AD42" s="25"/>
      <c r="AE42" s="25"/>
      <c r="AF42" s="25"/>
      <c r="AG42" s="25"/>
    </row>
    <row r="43" spans="1:33" ht="14.5">
      <c r="A43" s="74">
        <f ca="1">IFERROR(IF(Loan_Not_Paid*Values_Entered,Payment_Number,""), "")</f>
        <v>30</v>
      </c>
      <c r="B43" s="75">
        <f ca="1">IFERROR(IF(Loan_Not_Paid*Values_Entered,Payment_Date,""), "")</f>
        <v>46670</v>
      </c>
      <c r="C43" s="76">
        <f ca="1">IFERROR(IF(Loan_Not_Paid*Values_Entered,Beginning_Balance,""), "")</f>
        <v>19353.881948235961</v>
      </c>
      <c r="D43" s="76">
        <f ca="1">IFERROR(IF(Loan_Not_Paid*Values_Entered,Monthly_Payment,""), "")</f>
        <v>466.67608947837732</v>
      </c>
      <c r="E43" s="76">
        <f ca="1">IFERROR(IF(Loan_Not_Paid*Values_Entered,Principal,""), "")</f>
        <v>75.566391774442195</v>
      </c>
      <c r="F43" s="76">
        <f ca="1">IFERROR(IF(Loan_Not_Paid*Values_Entered,Interest,""), "")</f>
        <v>391.10969770393507</v>
      </c>
      <c r="G43" s="77">
        <f ca="1">IFERROR(IF(Loan_Not_Paid*Values_Entered,Ending_Balance,""), "")</f>
        <v>19278.315556461515</v>
      </c>
      <c r="I43" s="25"/>
      <c r="J43" s="25"/>
      <c r="K43" s="25"/>
      <c r="L43" s="25"/>
      <c r="M43" s="25"/>
      <c r="N43" s="25"/>
      <c r="O43" s="25"/>
      <c r="P43" s="25"/>
      <c r="Q43" s="25"/>
      <c r="R43" s="25"/>
      <c r="S43" s="25"/>
      <c r="T43" s="25"/>
      <c r="U43" s="25"/>
      <c r="V43" s="25"/>
      <c r="W43" s="25"/>
      <c r="X43" s="25"/>
      <c r="Y43" s="25"/>
      <c r="Z43" s="25"/>
      <c r="AA43" s="25"/>
      <c r="AB43" s="25"/>
      <c r="AC43" s="25"/>
      <c r="AD43" s="25"/>
      <c r="AE43" s="25"/>
      <c r="AF43" s="25"/>
      <c r="AG43" s="25"/>
    </row>
    <row r="44" spans="1:33" ht="14.5">
      <c r="A44" s="74">
        <f ca="1">IFERROR(IF(Loan_Not_Paid*Values_Entered,Payment_Number,""), "")</f>
        <v>31</v>
      </c>
      <c r="B44" s="75">
        <f ca="1">IFERROR(IF(Loan_Not_Paid*Values_Entered,Payment_Date,""), "")</f>
        <v>46701</v>
      </c>
      <c r="C44" s="76">
        <f ca="1">IFERROR(IF(Loan_Not_Paid*Values_Entered,Beginning_Balance,""), "")</f>
        <v>19278.315556461515</v>
      </c>
      <c r="D44" s="76">
        <f ca="1">IFERROR(IF(Loan_Not_Paid*Values_Entered,Monthly_Payment,""), "")</f>
        <v>466.67608947837732</v>
      </c>
      <c r="E44" s="76">
        <f ca="1">IFERROR(IF(Loan_Not_Paid*Values_Entered,Principal,""), "")</f>
        <v>77.093462608217379</v>
      </c>
      <c r="F44" s="76">
        <f ca="1">IFERROR(IF(Loan_Not_Paid*Values_Entered,Interest,""), "")</f>
        <v>389.58262687015991</v>
      </c>
      <c r="G44" s="77">
        <f ca="1">IFERROR(IF(Loan_Not_Paid*Values_Entered,Ending_Balance,""), "")</f>
        <v>19201.222093853299</v>
      </c>
      <c r="I44" s="25"/>
      <c r="J44" s="25"/>
      <c r="K44" s="25"/>
      <c r="L44" s="25"/>
      <c r="M44" s="25"/>
      <c r="N44" s="25"/>
      <c r="O44" s="25"/>
      <c r="P44" s="25"/>
      <c r="Q44" s="25"/>
      <c r="R44" s="25"/>
      <c r="S44" s="25"/>
      <c r="T44" s="25"/>
      <c r="U44" s="25"/>
      <c r="V44" s="25"/>
      <c r="W44" s="25"/>
      <c r="X44" s="25"/>
      <c r="Y44" s="25"/>
      <c r="Z44" s="25"/>
      <c r="AA44" s="25"/>
      <c r="AB44" s="25"/>
      <c r="AC44" s="25"/>
      <c r="AD44" s="25"/>
      <c r="AE44" s="25"/>
      <c r="AF44" s="25"/>
      <c r="AG44" s="25"/>
    </row>
    <row r="45" spans="1:33" ht="14.5">
      <c r="A45" s="74">
        <f ca="1">IFERROR(IF(Loan_Not_Paid*Values_Entered,Payment_Number,""), "")</f>
        <v>32</v>
      </c>
      <c r="B45" s="75">
        <f ca="1">IFERROR(IF(Loan_Not_Paid*Values_Entered,Payment_Date,""), "")</f>
        <v>46731</v>
      </c>
      <c r="C45" s="76">
        <f ca="1">IFERROR(IF(Loan_Not_Paid*Values_Entered,Beginning_Balance,""), "")</f>
        <v>19201.222093853299</v>
      </c>
      <c r="D45" s="76">
        <f ca="1">IFERROR(IF(Loan_Not_Paid*Values_Entered,Monthly_Payment,""), "")</f>
        <v>466.67608947837732</v>
      </c>
      <c r="E45" s="76">
        <f ca="1">IFERROR(IF(Loan_Not_Paid*Values_Entered,Principal,""), "")</f>
        <v>78.651392998425095</v>
      </c>
      <c r="F45" s="76">
        <f ca="1">IFERROR(IF(Loan_Not_Paid*Values_Entered,Interest,""), "")</f>
        <v>388.02469647995218</v>
      </c>
      <c r="G45" s="77">
        <f ca="1">IFERROR(IF(Loan_Not_Paid*Values_Entered,Ending_Balance,""), "")</f>
        <v>19122.570700854878</v>
      </c>
      <c r="I45" s="25"/>
      <c r="J45" s="25"/>
      <c r="K45" s="25"/>
      <c r="L45" s="25"/>
      <c r="M45" s="25"/>
      <c r="N45" s="25"/>
      <c r="O45" s="25"/>
      <c r="P45" s="25"/>
      <c r="Q45" s="25"/>
      <c r="R45" s="25"/>
      <c r="S45" s="25"/>
      <c r="T45" s="25"/>
      <c r="U45" s="25"/>
      <c r="V45" s="25"/>
      <c r="W45" s="25"/>
      <c r="X45" s="25"/>
      <c r="Y45" s="25"/>
      <c r="Z45" s="25"/>
      <c r="AA45" s="25"/>
      <c r="AB45" s="25"/>
      <c r="AC45" s="25"/>
      <c r="AD45" s="25"/>
      <c r="AE45" s="25"/>
      <c r="AF45" s="25"/>
      <c r="AG45" s="25"/>
    </row>
    <row r="46" spans="1:33" ht="14.5">
      <c r="A46" s="74">
        <f ca="1">IFERROR(IF(Loan_Not_Paid*Values_Entered,Payment_Number,""), "")</f>
        <v>33</v>
      </c>
      <c r="B46" s="75">
        <f ca="1">IFERROR(IF(Loan_Not_Paid*Values_Entered,Payment_Date,""), "")</f>
        <v>46762</v>
      </c>
      <c r="C46" s="76">
        <f ca="1">IFERROR(IF(Loan_Not_Paid*Values_Entered,Beginning_Balance,""), "")</f>
        <v>19122.570700854878</v>
      </c>
      <c r="D46" s="76">
        <f ca="1">IFERROR(IF(Loan_Not_Paid*Values_Entered,Monthly_Payment,""), "")</f>
        <v>466.67608947837732</v>
      </c>
      <c r="E46" s="76">
        <f ca="1">IFERROR(IF(Loan_Not_Paid*Values_Entered,Principal,""), "")</f>
        <v>80.240806565268286</v>
      </c>
      <c r="F46" s="76">
        <f ca="1">IFERROR(IF(Loan_Not_Paid*Values_Entered,Interest,""), "")</f>
        <v>386.43528291310901</v>
      </c>
      <c r="G46" s="77">
        <f ca="1">IFERROR(IF(Loan_Not_Paid*Values_Entered,Ending_Balance,""), "")</f>
        <v>19042.329894289607</v>
      </c>
      <c r="I46" s="25"/>
      <c r="J46" s="25"/>
      <c r="K46" s="25"/>
      <c r="L46" s="25"/>
      <c r="M46" s="25"/>
      <c r="N46" s="25"/>
      <c r="O46" s="25"/>
      <c r="P46" s="25"/>
      <c r="Q46" s="25"/>
      <c r="R46" s="25"/>
      <c r="S46" s="25"/>
      <c r="T46" s="25"/>
      <c r="U46" s="25"/>
      <c r="V46" s="25"/>
      <c r="W46" s="25"/>
      <c r="X46" s="25"/>
      <c r="Y46" s="25"/>
      <c r="Z46" s="25"/>
      <c r="AA46" s="25"/>
      <c r="AB46" s="25"/>
      <c r="AC46" s="25"/>
      <c r="AD46" s="25"/>
      <c r="AE46" s="25"/>
      <c r="AF46" s="25"/>
      <c r="AG46" s="25"/>
    </row>
    <row r="47" spans="1:33" ht="14.5">
      <c r="A47" s="74">
        <f ca="1">IFERROR(IF(Loan_Not_Paid*Values_Entered,Payment_Number,""), "")</f>
        <v>34</v>
      </c>
      <c r="B47" s="75">
        <f ca="1">IFERROR(IF(Loan_Not_Paid*Values_Entered,Payment_Date,""), "")</f>
        <v>46793</v>
      </c>
      <c r="C47" s="76">
        <f ca="1">IFERROR(IF(Loan_Not_Paid*Values_Entered,Beginning_Balance,""), "")</f>
        <v>19042.329894289607</v>
      </c>
      <c r="D47" s="76">
        <f ca="1">IFERROR(IF(Loan_Not_Paid*Values_Entered,Monthly_Payment,""), "")</f>
        <v>466.67608947837732</v>
      </c>
      <c r="E47" s="76">
        <f ca="1">IFERROR(IF(Loan_Not_Paid*Values_Entered,Principal,""), "")</f>
        <v>81.862339531274742</v>
      </c>
      <c r="F47" s="76">
        <f ca="1">IFERROR(IF(Loan_Not_Paid*Values_Entered,Interest,""), "")</f>
        <v>384.81374994710256</v>
      </c>
      <c r="G47" s="77">
        <f ca="1">IFERROR(IF(Loan_Not_Paid*Values_Entered,Ending_Balance,""), "")</f>
        <v>18960.467554758332</v>
      </c>
      <c r="I47" s="25"/>
      <c r="J47" s="25"/>
      <c r="K47" s="25"/>
      <c r="L47" s="25"/>
      <c r="M47" s="25"/>
      <c r="N47" s="25"/>
      <c r="O47" s="25"/>
      <c r="P47" s="25"/>
      <c r="Q47" s="25"/>
      <c r="R47" s="25"/>
      <c r="S47" s="25"/>
      <c r="T47" s="25"/>
      <c r="U47" s="25"/>
      <c r="V47" s="25"/>
      <c r="W47" s="25"/>
      <c r="X47" s="25"/>
      <c r="Y47" s="25"/>
      <c r="Z47" s="25"/>
      <c r="AA47" s="25"/>
      <c r="AB47" s="25"/>
      <c r="AC47" s="25"/>
      <c r="AD47" s="25"/>
      <c r="AE47" s="25"/>
      <c r="AF47" s="25"/>
      <c r="AG47" s="25"/>
    </row>
    <row r="48" spans="1:33" ht="14.5">
      <c r="A48" s="74">
        <f ca="1">IFERROR(IF(Loan_Not_Paid*Values_Entered,Payment_Number,""), "")</f>
        <v>35</v>
      </c>
      <c r="B48" s="75">
        <f ca="1">IFERROR(IF(Loan_Not_Paid*Values_Entered,Payment_Date,""), "")</f>
        <v>46822</v>
      </c>
      <c r="C48" s="76">
        <f ca="1">IFERROR(IF(Loan_Not_Paid*Values_Entered,Beginning_Balance,""), "")</f>
        <v>18960.467554758332</v>
      </c>
      <c r="D48" s="76">
        <f ca="1">IFERROR(IF(Loan_Not_Paid*Values_Entered,Monthly_Payment,""), "")</f>
        <v>466.67608947837732</v>
      </c>
      <c r="E48" s="76">
        <f ca="1">IFERROR(IF(Loan_Not_Paid*Values_Entered,Principal,""), "")</f>
        <v>83.516640975969253</v>
      </c>
      <c r="F48" s="76">
        <f ca="1">IFERROR(IF(Loan_Not_Paid*Values_Entered,Interest,""), "")</f>
        <v>383.15944850240805</v>
      </c>
      <c r="G48" s="77">
        <f ca="1">IFERROR(IF(Loan_Not_Paid*Values_Entered,Ending_Balance,""), "")</f>
        <v>18876.950913782362</v>
      </c>
      <c r="I48" s="25"/>
      <c r="J48" s="25"/>
      <c r="K48" s="25"/>
      <c r="L48" s="25"/>
      <c r="M48" s="25"/>
      <c r="N48" s="25"/>
      <c r="O48" s="25"/>
      <c r="P48" s="25"/>
      <c r="Q48" s="25"/>
      <c r="R48" s="25"/>
      <c r="S48" s="25"/>
      <c r="T48" s="25"/>
      <c r="U48" s="25"/>
      <c r="V48" s="25"/>
      <c r="W48" s="25"/>
      <c r="X48" s="25"/>
      <c r="Y48" s="25"/>
      <c r="Z48" s="25"/>
      <c r="AA48" s="25"/>
      <c r="AB48" s="25"/>
      <c r="AC48" s="25"/>
      <c r="AD48" s="25"/>
      <c r="AE48" s="25"/>
      <c r="AF48" s="25"/>
      <c r="AG48" s="25"/>
    </row>
    <row r="49" spans="1:33" ht="14.5">
      <c r="A49" s="74">
        <f ca="1">IFERROR(IF(Loan_Not_Paid*Values_Entered,Payment_Number,""), "")</f>
        <v>36</v>
      </c>
      <c r="B49" s="75">
        <f ca="1">IFERROR(IF(Loan_Not_Paid*Values_Entered,Payment_Date,""), "")</f>
        <v>46853</v>
      </c>
      <c r="C49" s="76">
        <f ca="1">IFERROR(IF(Loan_Not_Paid*Values_Entered,Beginning_Balance,""), "")</f>
        <v>18876.950913782362</v>
      </c>
      <c r="D49" s="76">
        <f ca="1">IFERROR(IF(Loan_Not_Paid*Values_Entered,Monthly_Payment,""), "")</f>
        <v>466.67608947837732</v>
      </c>
      <c r="E49" s="76">
        <f ca="1">IFERROR(IF(Loan_Not_Paid*Values_Entered,Principal,""), "")</f>
        <v>85.204373095691949</v>
      </c>
      <c r="F49" s="76">
        <f ca="1">IFERROR(IF(Loan_Not_Paid*Values_Entered,Interest,""), "")</f>
        <v>381.47171638268537</v>
      </c>
      <c r="G49" s="77">
        <f ca="1">IFERROR(IF(Loan_Not_Paid*Values_Entered,Ending_Balance,""), "")</f>
        <v>18791.746540686669</v>
      </c>
      <c r="I49" s="25"/>
      <c r="J49" s="25"/>
      <c r="K49" s="25"/>
      <c r="L49" s="25"/>
      <c r="M49" s="25"/>
      <c r="N49" s="25"/>
      <c r="O49" s="25"/>
      <c r="P49" s="25"/>
      <c r="Q49" s="25"/>
      <c r="R49" s="25"/>
      <c r="S49" s="25"/>
      <c r="T49" s="25"/>
      <c r="U49" s="25"/>
      <c r="V49" s="25"/>
      <c r="W49" s="25"/>
      <c r="X49" s="25"/>
      <c r="Y49" s="25"/>
      <c r="Z49" s="25"/>
      <c r="AA49" s="25"/>
      <c r="AB49" s="25"/>
      <c r="AC49" s="25"/>
      <c r="AD49" s="25"/>
      <c r="AE49" s="25"/>
      <c r="AF49" s="25"/>
      <c r="AG49" s="25"/>
    </row>
    <row r="50" spans="1:33" ht="14.5">
      <c r="A50" s="74">
        <f ca="1">IFERROR(IF(Loan_Not_Paid*Values_Entered,Payment_Number,""), "")</f>
        <v>37</v>
      </c>
      <c r="B50" s="75">
        <f ca="1">IFERROR(IF(Loan_Not_Paid*Values_Entered,Payment_Date,""), "")</f>
        <v>46883</v>
      </c>
      <c r="C50" s="76">
        <f ca="1">IFERROR(IF(Loan_Not_Paid*Values_Entered,Beginning_Balance,""), "")</f>
        <v>18791.746540686669</v>
      </c>
      <c r="D50" s="76">
        <f ca="1">IFERROR(IF(Loan_Not_Paid*Values_Entered,Monthly_Payment,""), "")</f>
        <v>466.67608947837732</v>
      </c>
      <c r="E50" s="76">
        <f ca="1">IFERROR(IF(Loan_Not_Paid*Values_Entered,Principal,""), "")</f>
        <v>86.926211468667418</v>
      </c>
      <c r="F50" s="76">
        <f ca="1">IFERROR(IF(Loan_Not_Paid*Values_Entered,Interest,""), "")</f>
        <v>379.7498780097099</v>
      </c>
      <c r="G50" s="77">
        <f ca="1">IFERROR(IF(Loan_Not_Paid*Values_Entered,Ending_Balance,""), "")</f>
        <v>18704.820329218001</v>
      </c>
      <c r="I50" s="25"/>
      <c r="J50" s="25"/>
      <c r="K50" s="25"/>
      <c r="L50" s="25"/>
      <c r="M50" s="25"/>
      <c r="N50" s="25"/>
      <c r="O50" s="25"/>
      <c r="P50" s="25"/>
      <c r="Q50" s="25"/>
      <c r="R50" s="25"/>
      <c r="S50" s="25"/>
      <c r="T50" s="25"/>
      <c r="U50" s="25"/>
      <c r="V50" s="25"/>
      <c r="W50" s="25"/>
      <c r="X50" s="25"/>
      <c r="Y50" s="25"/>
      <c r="Z50" s="25"/>
      <c r="AA50" s="25"/>
      <c r="AB50" s="25"/>
      <c r="AC50" s="25"/>
      <c r="AD50" s="25"/>
      <c r="AE50" s="25"/>
      <c r="AF50" s="25"/>
      <c r="AG50" s="25"/>
    </row>
    <row r="51" spans="1:33" ht="14.5">
      <c r="A51" s="74">
        <f ca="1">IFERROR(IF(Loan_Not_Paid*Values_Entered,Payment_Number,""), "")</f>
        <v>38</v>
      </c>
      <c r="B51" s="75">
        <f ca="1">IFERROR(IF(Loan_Not_Paid*Values_Entered,Payment_Date,""), "")</f>
        <v>46914</v>
      </c>
      <c r="C51" s="76">
        <f ca="1">IFERROR(IF(Loan_Not_Paid*Values_Entered,Beginning_Balance,""), "")</f>
        <v>18704.820329218001</v>
      </c>
      <c r="D51" s="76">
        <f ca="1">IFERROR(IF(Loan_Not_Paid*Values_Entered,Monthly_Payment,""), "")</f>
        <v>466.67608947837732</v>
      </c>
      <c r="E51" s="76">
        <f ca="1">IFERROR(IF(Loan_Not_Paid*Values_Entered,Principal,""), "")</f>
        <v>88.682845325430065</v>
      </c>
      <c r="F51" s="76">
        <f ca="1">IFERROR(IF(Loan_Not_Paid*Values_Entered,Interest,""), "")</f>
        <v>377.99324415294728</v>
      </c>
      <c r="G51" s="77">
        <f ca="1">IFERROR(IF(Loan_Not_Paid*Values_Entered,Ending_Balance,""), "")</f>
        <v>18616.137483892573</v>
      </c>
      <c r="I51" s="25"/>
      <c r="J51" s="25"/>
      <c r="K51" s="25"/>
      <c r="L51" s="25"/>
      <c r="M51" s="25"/>
      <c r="N51" s="25"/>
      <c r="O51" s="25"/>
      <c r="P51" s="25"/>
      <c r="Q51" s="25"/>
      <c r="R51" s="25"/>
      <c r="S51" s="25"/>
      <c r="T51" s="25"/>
      <c r="U51" s="25"/>
      <c r="V51" s="25"/>
      <c r="W51" s="25"/>
      <c r="X51" s="25"/>
      <c r="Y51" s="25"/>
      <c r="Z51" s="25"/>
      <c r="AA51" s="25"/>
      <c r="AB51" s="25"/>
      <c r="AC51" s="25"/>
      <c r="AD51" s="25"/>
      <c r="AE51" s="25"/>
      <c r="AF51" s="25"/>
      <c r="AG51" s="25"/>
    </row>
    <row r="52" spans="1:33" ht="14.5">
      <c r="A52" s="74">
        <f ca="1">IFERROR(IF(Loan_Not_Paid*Values_Entered,Payment_Number,""), "")</f>
        <v>39</v>
      </c>
      <c r="B52" s="75">
        <f ca="1">IFERROR(IF(Loan_Not_Paid*Values_Entered,Payment_Date,""), "")</f>
        <v>46944</v>
      </c>
      <c r="C52" s="76">
        <f ca="1">IFERROR(IF(Loan_Not_Paid*Values_Entered,Beginning_Balance,""), "")</f>
        <v>18616.137483892573</v>
      </c>
      <c r="D52" s="76">
        <f ca="1">IFERROR(IF(Loan_Not_Paid*Values_Entered,Monthly_Payment,""), "")</f>
        <v>466.67608947837732</v>
      </c>
      <c r="E52" s="76">
        <f ca="1">IFERROR(IF(Loan_Not_Paid*Values_Entered,Principal,""), "")</f>
        <v>90.474977824714799</v>
      </c>
      <c r="F52" s="76">
        <f ca="1">IFERROR(IF(Loan_Not_Paid*Values_Entered,Interest,""), "")</f>
        <v>376.20111165366251</v>
      </c>
      <c r="G52" s="77">
        <f ca="1">IFERROR(IF(Loan_Not_Paid*Values_Entered,Ending_Balance,""), "")</f>
        <v>18525.662506067853</v>
      </c>
      <c r="I52" s="25"/>
      <c r="J52" s="25"/>
      <c r="K52" s="25"/>
      <c r="L52" s="25"/>
      <c r="M52" s="25"/>
      <c r="N52" s="25"/>
      <c r="O52" s="25"/>
      <c r="P52" s="25"/>
      <c r="Q52" s="25"/>
      <c r="R52" s="25"/>
      <c r="S52" s="25"/>
      <c r="T52" s="25"/>
      <c r="U52" s="25"/>
      <c r="V52" s="25"/>
      <c r="W52" s="25"/>
      <c r="X52" s="25"/>
      <c r="Y52" s="25"/>
      <c r="Z52" s="25"/>
      <c r="AA52" s="25"/>
      <c r="AB52" s="25"/>
      <c r="AC52" s="25"/>
      <c r="AD52" s="25"/>
      <c r="AE52" s="25"/>
      <c r="AF52" s="25"/>
      <c r="AG52" s="25"/>
    </row>
    <row r="53" spans="1:33" ht="14.5">
      <c r="A53" s="74">
        <f ca="1">IFERROR(IF(Loan_Not_Paid*Values_Entered,Payment_Number,""), "")</f>
        <v>40</v>
      </c>
      <c r="B53" s="75">
        <f ca="1">IFERROR(IF(Loan_Not_Paid*Values_Entered,Payment_Date,""), "")</f>
        <v>46975</v>
      </c>
      <c r="C53" s="76">
        <f ca="1">IFERROR(IF(Loan_Not_Paid*Values_Entered,Beginning_Balance,""), "")</f>
        <v>18525.662506067853</v>
      </c>
      <c r="D53" s="76">
        <f ca="1">IFERROR(IF(Loan_Not_Paid*Values_Entered,Monthly_Payment,""), "")</f>
        <v>466.67608947837732</v>
      </c>
      <c r="E53" s="76">
        <f ca="1">IFERROR(IF(Loan_Not_Paid*Values_Entered,Principal,""), "")</f>
        <v>92.303326334922559</v>
      </c>
      <c r="F53" s="76">
        <f ca="1">IFERROR(IF(Loan_Not_Paid*Values_Entered,Interest,""), "")</f>
        <v>374.37276314345473</v>
      </c>
      <c r="G53" s="77">
        <f ca="1">IFERROR(IF(Loan_Not_Paid*Values_Entered,Ending_Balance,""), "")</f>
        <v>18433.359179732932</v>
      </c>
      <c r="I53" s="25"/>
      <c r="J53" s="25"/>
      <c r="K53" s="25"/>
      <c r="L53" s="25"/>
      <c r="M53" s="25"/>
      <c r="N53" s="25"/>
      <c r="O53" s="25"/>
      <c r="P53" s="25"/>
      <c r="Q53" s="25"/>
      <c r="R53" s="25"/>
      <c r="S53" s="25"/>
      <c r="T53" s="25"/>
      <c r="U53" s="25"/>
      <c r="V53" s="25"/>
      <c r="W53" s="25"/>
      <c r="X53" s="25"/>
      <c r="Y53" s="25"/>
      <c r="Z53" s="25"/>
      <c r="AA53" s="25"/>
      <c r="AB53" s="25"/>
      <c r="AC53" s="25"/>
      <c r="AD53" s="25"/>
      <c r="AE53" s="25"/>
      <c r="AF53" s="25"/>
      <c r="AG53" s="25"/>
    </row>
    <row r="54" spans="1:33" ht="14.5">
      <c r="A54" s="74">
        <f ca="1">IFERROR(IF(Loan_Not_Paid*Values_Entered,Payment_Number,""), "")</f>
        <v>41</v>
      </c>
      <c r="B54" s="75">
        <f ca="1">IFERROR(IF(Loan_Not_Paid*Values_Entered,Payment_Date,""), "")</f>
        <v>47006</v>
      </c>
      <c r="C54" s="76">
        <f ca="1">IFERROR(IF(Loan_Not_Paid*Values_Entered,Beginning_Balance,""), "")</f>
        <v>18433.359179732932</v>
      </c>
      <c r="D54" s="76">
        <f ca="1">IFERROR(IF(Loan_Not_Paid*Values_Entered,Monthly_Payment,""), "")</f>
        <v>466.67608947837732</v>
      </c>
      <c r="E54" s="76">
        <f ca="1">IFERROR(IF(Loan_Not_Paid*Values_Entered,Principal,""), "")</f>
        <v>94.168622721274147</v>
      </c>
      <c r="F54" s="76">
        <f ca="1">IFERROR(IF(Loan_Not_Paid*Values_Entered,Interest,""), "")</f>
        <v>372.5074667571032</v>
      </c>
      <c r="G54" s="77">
        <f ca="1">IFERROR(IF(Loan_Not_Paid*Values_Entered,Ending_Balance,""), "")</f>
        <v>18339.190557011661</v>
      </c>
      <c r="I54" s="25"/>
      <c r="J54" s="25"/>
      <c r="K54" s="25"/>
      <c r="L54" s="25"/>
      <c r="M54" s="25"/>
      <c r="N54" s="25"/>
      <c r="O54" s="25"/>
      <c r="P54" s="25"/>
      <c r="Q54" s="25"/>
      <c r="R54" s="25"/>
      <c r="S54" s="25"/>
      <c r="T54" s="25"/>
      <c r="U54" s="25"/>
      <c r="V54" s="25"/>
      <c r="W54" s="25"/>
      <c r="X54" s="25"/>
      <c r="Y54" s="25"/>
      <c r="Z54" s="25"/>
      <c r="AA54" s="25"/>
      <c r="AB54" s="25"/>
      <c r="AC54" s="25"/>
      <c r="AD54" s="25"/>
      <c r="AE54" s="25"/>
      <c r="AF54" s="25"/>
      <c r="AG54" s="25"/>
    </row>
    <row r="55" spans="1:33" ht="14.5">
      <c r="A55" s="74">
        <f ca="1">IFERROR(IF(Loan_Not_Paid*Values_Entered,Payment_Number,""), "")</f>
        <v>42</v>
      </c>
      <c r="B55" s="75">
        <f ca="1">IFERROR(IF(Loan_Not_Paid*Values_Entered,Payment_Date,""), "")</f>
        <v>47036</v>
      </c>
      <c r="C55" s="76">
        <f ca="1">IFERROR(IF(Loan_Not_Paid*Values_Entered,Beginning_Balance,""), "")</f>
        <v>18339.190557011661</v>
      </c>
      <c r="D55" s="76">
        <f ca="1">IFERROR(IF(Loan_Not_Paid*Values_Entered,Monthly_Payment,""), "")</f>
        <v>466.67608947837732</v>
      </c>
      <c r="E55" s="76">
        <f ca="1">IFERROR(IF(Loan_Not_Paid*Values_Entered,Principal,""), "")</f>
        <v>96.07161363876655</v>
      </c>
      <c r="F55" s="76">
        <f ca="1">IFERROR(IF(Loan_Not_Paid*Values_Entered,Interest,""), "")</f>
        <v>370.60447583961076</v>
      </c>
      <c r="G55" s="77">
        <f ca="1">IFERROR(IF(Loan_Not_Paid*Values_Entered,Ending_Balance,""), "")</f>
        <v>18243.11894337289</v>
      </c>
      <c r="I55" s="25"/>
      <c r="J55" s="25"/>
      <c r="K55" s="25"/>
      <c r="L55" s="25"/>
      <c r="M55" s="25"/>
      <c r="N55" s="25"/>
      <c r="O55" s="25"/>
      <c r="P55" s="25"/>
      <c r="Q55" s="25"/>
      <c r="R55" s="25"/>
      <c r="S55" s="25"/>
      <c r="T55" s="25"/>
      <c r="U55" s="25"/>
      <c r="V55" s="25"/>
      <c r="W55" s="25"/>
      <c r="X55" s="25"/>
      <c r="Y55" s="25"/>
      <c r="Z55" s="25"/>
      <c r="AA55" s="25"/>
      <c r="AB55" s="25"/>
      <c r="AC55" s="25"/>
      <c r="AD55" s="25"/>
      <c r="AE55" s="25"/>
      <c r="AF55" s="25"/>
      <c r="AG55" s="25"/>
    </row>
    <row r="56" spans="1:33" ht="14.5">
      <c r="A56" s="74">
        <f ca="1">IFERROR(IF(Loan_Not_Paid*Values_Entered,Payment_Number,""), "")</f>
        <v>43</v>
      </c>
      <c r="B56" s="75">
        <f ca="1">IFERROR(IF(Loan_Not_Paid*Values_Entered,Payment_Date,""), "")</f>
        <v>47067</v>
      </c>
      <c r="C56" s="76">
        <f ca="1">IFERROR(IF(Loan_Not_Paid*Values_Entered,Beginning_Balance,""), "")</f>
        <v>18243.11894337289</v>
      </c>
      <c r="D56" s="76">
        <f ca="1">IFERROR(IF(Loan_Not_Paid*Values_Entered,Monthly_Payment,""), "")</f>
        <v>466.67608947837732</v>
      </c>
      <c r="E56" s="76">
        <f ca="1">IFERROR(IF(Loan_Not_Paid*Values_Entered,Principal,""), "")</f>
        <v>98.013060831049941</v>
      </c>
      <c r="F56" s="76">
        <f ca="1">IFERROR(IF(Loan_Not_Paid*Values_Entered,Interest,""), "")</f>
        <v>368.66302864732734</v>
      </c>
      <c r="G56" s="77">
        <f ca="1">IFERROR(IF(Loan_Not_Paid*Values_Entered,Ending_Balance,""), "")</f>
        <v>18145.105882541844</v>
      </c>
      <c r="I56" s="25"/>
      <c r="J56" s="25"/>
      <c r="K56" s="25"/>
      <c r="L56" s="25"/>
      <c r="M56" s="25"/>
      <c r="N56" s="25"/>
      <c r="O56" s="25"/>
      <c r="P56" s="25"/>
      <c r="Q56" s="25"/>
      <c r="R56" s="25"/>
      <c r="S56" s="25"/>
      <c r="T56" s="25"/>
      <c r="U56" s="25"/>
      <c r="V56" s="25"/>
      <c r="W56" s="25"/>
      <c r="X56" s="25"/>
      <c r="Y56" s="25"/>
      <c r="Z56" s="25"/>
      <c r="AA56" s="25"/>
      <c r="AB56" s="25"/>
      <c r="AC56" s="25"/>
      <c r="AD56" s="25"/>
      <c r="AE56" s="25"/>
      <c r="AF56" s="25"/>
      <c r="AG56" s="25"/>
    </row>
    <row r="57" spans="1:33" ht="14.5">
      <c r="A57" s="74">
        <f ca="1">IFERROR(IF(Loan_Not_Paid*Values_Entered,Payment_Number,""), "")</f>
        <v>44</v>
      </c>
      <c r="B57" s="75">
        <f ca="1">IFERROR(IF(Loan_Not_Paid*Values_Entered,Payment_Date,""), "")</f>
        <v>47097</v>
      </c>
      <c r="C57" s="76">
        <f ca="1">IFERROR(IF(Loan_Not_Paid*Values_Entered,Beginning_Balance,""), "")</f>
        <v>18145.105882541844</v>
      </c>
      <c r="D57" s="76">
        <f ca="1">IFERROR(IF(Loan_Not_Paid*Values_Entered,Monthly_Payment,""), "")</f>
        <v>466.67608947837732</v>
      </c>
      <c r="E57" s="76">
        <f ca="1">IFERROR(IF(Loan_Not_Paid*Values_Entered,Principal,""), "")</f>
        <v>99.993741435344091</v>
      </c>
      <c r="F57" s="76">
        <f ca="1">IFERROR(IF(Loan_Not_Paid*Values_Entered,Interest,""), "")</f>
        <v>366.68234804303319</v>
      </c>
      <c r="G57" s="77">
        <f ca="1">IFERROR(IF(Loan_Not_Paid*Values_Entered,Ending_Balance,""), "")</f>
        <v>18045.112141106492</v>
      </c>
      <c r="I57" s="25"/>
      <c r="J57" s="25"/>
      <c r="K57" s="25"/>
      <c r="L57" s="25"/>
      <c r="M57" s="25"/>
      <c r="N57" s="25"/>
      <c r="O57" s="25"/>
      <c r="P57" s="25"/>
      <c r="Q57" s="25"/>
      <c r="R57" s="25"/>
      <c r="S57" s="25"/>
      <c r="T57" s="25"/>
      <c r="U57" s="25"/>
      <c r="V57" s="25"/>
      <c r="W57" s="25"/>
      <c r="X57" s="25"/>
      <c r="Y57" s="25"/>
      <c r="Z57" s="25"/>
      <c r="AA57" s="25"/>
      <c r="AB57" s="25"/>
      <c r="AC57" s="25"/>
      <c r="AD57" s="25"/>
      <c r="AE57" s="25"/>
      <c r="AF57" s="25"/>
      <c r="AG57" s="25"/>
    </row>
    <row r="58" spans="1:33" ht="14.5">
      <c r="A58" s="74">
        <f ca="1">IFERROR(IF(Loan_Not_Paid*Values_Entered,Payment_Number,""), "")</f>
        <v>45</v>
      </c>
      <c r="B58" s="75">
        <f ca="1">IFERROR(IF(Loan_Not_Paid*Values_Entered,Payment_Date,""), "")</f>
        <v>47128</v>
      </c>
      <c r="C58" s="76">
        <f ca="1">IFERROR(IF(Loan_Not_Paid*Values_Entered,Beginning_Balance,""), "")</f>
        <v>18045.112141106492</v>
      </c>
      <c r="D58" s="76">
        <f ca="1">IFERROR(IF(Loan_Not_Paid*Values_Entered,Monthly_Payment,""), "")</f>
        <v>466.67608947837732</v>
      </c>
      <c r="E58" s="76">
        <f ca="1">IFERROR(IF(Loan_Not_Paid*Values_Entered,Principal,""), "")</f>
        <v>102.01444829351668</v>
      </c>
      <c r="F58" s="76">
        <f ca="1">IFERROR(IF(Loan_Not_Paid*Values_Entered,Interest,""), "")</f>
        <v>364.66164118486063</v>
      </c>
      <c r="G58" s="77">
        <f ca="1">IFERROR(IF(Loan_Not_Paid*Values_Entered,Ending_Balance,""), "")</f>
        <v>17943.097692812982</v>
      </c>
      <c r="I58" s="25"/>
      <c r="J58" s="25"/>
      <c r="K58" s="25"/>
      <c r="L58" s="25"/>
      <c r="M58" s="25"/>
      <c r="N58" s="25"/>
      <c r="O58" s="25"/>
      <c r="P58" s="25"/>
      <c r="Q58" s="25"/>
      <c r="R58" s="25"/>
      <c r="S58" s="25"/>
      <c r="T58" s="25"/>
      <c r="U58" s="25"/>
      <c r="V58" s="25"/>
      <c r="W58" s="25"/>
      <c r="X58" s="25"/>
      <c r="Y58" s="25"/>
      <c r="Z58" s="25"/>
      <c r="AA58" s="25"/>
      <c r="AB58" s="25"/>
      <c r="AC58" s="25"/>
      <c r="AD58" s="25"/>
      <c r="AE58" s="25"/>
      <c r="AF58" s="25"/>
      <c r="AG58" s="25"/>
    </row>
    <row r="59" spans="1:33" ht="14.5">
      <c r="A59" s="74">
        <f ca="1">IFERROR(IF(Loan_Not_Paid*Values_Entered,Payment_Number,""), "")</f>
        <v>46</v>
      </c>
      <c r="B59" s="75">
        <f ca="1">IFERROR(IF(Loan_Not_Paid*Values_Entered,Payment_Date,""), "")</f>
        <v>47159</v>
      </c>
      <c r="C59" s="76">
        <f ca="1">IFERROR(IF(Loan_Not_Paid*Values_Entered,Beginning_Balance,""), "")</f>
        <v>17943.097692812982</v>
      </c>
      <c r="D59" s="76">
        <f ca="1">IFERROR(IF(Loan_Not_Paid*Values_Entered,Monthly_Payment,""), "")</f>
        <v>466.67608947837732</v>
      </c>
      <c r="E59" s="76">
        <f ca="1">IFERROR(IF(Loan_Not_Paid*Values_Entered,Principal,""), "")</f>
        <v>104.07599026944814</v>
      </c>
      <c r="F59" s="76">
        <f ca="1">IFERROR(IF(Loan_Not_Paid*Values_Entered,Interest,""), "")</f>
        <v>362.60009920892912</v>
      </c>
      <c r="G59" s="77">
        <f ca="1">IFERROR(IF(Loan_Not_Paid*Values_Entered,Ending_Balance,""), "")</f>
        <v>17839.021702543527</v>
      </c>
      <c r="I59" s="25"/>
      <c r="J59" s="25"/>
      <c r="K59" s="25"/>
      <c r="L59" s="25"/>
      <c r="M59" s="25"/>
      <c r="N59" s="25"/>
      <c r="O59" s="25"/>
      <c r="P59" s="25"/>
      <c r="Q59" s="25"/>
      <c r="R59" s="25"/>
      <c r="S59" s="25"/>
      <c r="T59" s="25"/>
      <c r="U59" s="25"/>
      <c r="V59" s="25"/>
      <c r="W59" s="25"/>
      <c r="X59" s="25"/>
      <c r="Y59" s="25"/>
      <c r="Z59" s="25"/>
      <c r="AA59" s="25"/>
      <c r="AB59" s="25"/>
      <c r="AC59" s="25"/>
      <c r="AD59" s="25"/>
      <c r="AE59" s="25"/>
      <c r="AF59" s="25"/>
      <c r="AG59" s="25"/>
    </row>
    <row r="60" spans="1:33" ht="14.5">
      <c r="A60" s="74">
        <f ca="1">IFERROR(IF(Loan_Not_Paid*Values_Entered,Payment_Number,""), "")</f>
        <v>47</v>
      </c>
      <c r="B60" s="75">
        <f ca="1">IFERROR(IF(Loan_Not_Paid*Values_Entered,Payment_Date,""), "")</f>
        <v>47187</v>
      </c>
      <c r="C60" s="76">
        <f ca="1">IFERROR(IF(Loan_Not_Paid*Values_Entered,Beginning_Balance,""), "")</f>
        <v>17839.021702543527</v>
      </c>
      <c r="D60" s="76">
        <f ca="1">IFERROR(IF(Loan_Not_Paid*Values_Entered,Monthly_Payment,""), "")</f>
        <v>466.67608947837732</v>
      </c>
      <c r="E60" s="76">
        <f ca="1">IFERROR(IF(Loan_Not_Paid*Values_Entered,Principal,""), "")</f>
        <v>106.17919257280991</v>
      </c>
      <c r="F60" s="76">
        <f ca="1">IFERROR(IF(Loan_Not_Paid*Values_Entered,Interest,""), "")</f>
        <v>360.49689690556744</v>
      </c>
      <c r="G60" s="77">
        <f ca="1">IFERROR(IF(Loan_Not_Paid*Values_Entered,Ending_Balance,""), "")</f>
        <v>17732.842509970716</v>
      </c>
      <c r="I60" s="25"/>
      <c r="J60" s="25"/>
      <c r="K60" s="25"/>
      <c r="L60" s="25"/>
      <c r="M60" s="25"/>
      <c r="N60" s="25"/>
      <c r="O60" s="25"/>
      <c r="P60" s="25"/>
      <c r="Q60" s="25"/>
      <c r="R60" s="25"/>
      <c r="S60" s="25"/>
      <c r="T60" s="25"/>
      <c r="U60" s="25"/>
      <c r="V60" s="25"/>
      <c r="W60" s="25"/>
      <c r="X60" s="25"/>
      <c r="Y60" s="25"/>
      <c r="Z60" s="25"/>
      <c r="AA60" s="25"/>
      <c r="AB60" s="25"/>
      <c r="AC60" s="25"/>
      <c r="AD60" s="25"/>
      <c r="AE60" s="25"/>
      <c r="AF60" s="25"/>
      <c r="AG60" s="25"/>
    </row>
    <row r="61" spans="1:33" ht="14.5">
      <c r="A61" s="74">
        <f ca="1">IFERROR(IF(Loan_Not_Paid*Values_Entered,Payment_Number,""), "")</f>
        <v>48</v>
      </c>
      <c r="B61" s="75">
        <f ca="1">IFERROR(IF(Loan_Not_Paid*Values_Entered,Payment_Date,""), "")</f>
        <v>47218</v>
      </c>
      <c r="C61" s="76">
        <f ca="1">IFERROR(IF(Loan_Not_Paid*Values_Entered,Beginning_Balance,""), "")</f>
        <v>17732.842509970716</v>
      </c>
      <c r="D61" s="76">
        <f ca="1">IFERROR(IF(Loan_Not_Paid*Values_Entered,Monthly_Payment,""), "")</f>
        <v>466.67608947837732</v>
      </c>
      <c r="E61" s="76">
        <f ca="1">IFERROR(IF(Loan_Not_Paid*Values_Entered,Principal,""), "")</f>
        <v>108.32489708938546</v>
      </c>
      <c r="F61" s="76">
        <f ca="1">IFERROR(IF(Loan_Not_Paid*Values_Entered,Interest,""), "")</f>
        <v>358.35119238899182</v>
      </c>
      <c r="G61" s="77">
        <f ca="1">IFERROR(IF(Loan_Not_Paid*Values_Entered,Ending_Balance,""), "")</f>
        <v>17624.517612881333</v>
      </c>
      <c r="I61" s="25"/>
      <c r="J61" s="25"/>
      <c r="K61" s="25"/>
      <c r="L61" s="25"/>
      <c r="M61" s="25"/>
      <c r="N61" s="25"/>
      <c r="O61" s="25"/>
      <c r="P61" s="25"/>
      <c r="Q61" s="25"/>
      <c r="R61" s="25"/>
      <c r="S61" s="25"/>
      <c r="T61" s="25"/>
      <c r="U61" s="25"/>
      <c r="V61" s="25"/>
      <c r="W61" s="25"/>
      <c r="X61" s="25"/>
      <c r="Y61" s="25"/>
      <c r="Z61" s="25"/>
      <c r="AA61" s="25"/>
      <c r="AB61" s="25"/>
      <c r="AC61" s="25"/>
      <c r="AD61" s="25"/>
      <c r="AE61" s="25"/>
      <c r="AF61" s="25"/>
      <c r="AG61" s="25"/>
    </row>
    <row r="62" spans="1:33" ht="14.5">
      <c r="A62" s="74">
        <f ca="1">IFERROR(IF(Loan_Not_Paid*Values_Entered,Payment_Number,""), "")</f>
        <v>49</v>
      </c>
      <c r="B62" s="75">
        <f ca="1">IFERROR(IF(Loan_Not_Paid*Values_Entered,Payment_Date,""), "")</f>
        <v>47248</v>
      </c>
      <c r="C62" s="76">
        <f ca="1">IFERROR(IF(Loan_Not_Paid*Values_Entered,Beginning_Balance,""), "")</f>
        <v>17624.517612881333</v>
      </c>
      <c r="D62" s="76">
        <f ca="1">IFERROR(IF(Loan_Not_Paid*Values_Entered,Monthly_Payment,""), "")</f>
        <v>466.67608947837732</v>
      </c>
      <c r="E62" s="76">
        <f ca="1">IFERROR(IF(Loan_Not_Paid*Values_Entered,Principal,""), "")</f>
        <v>110.51396271806678</v>
      </c>
      <c r="F62" s="76">
        <f ca="1">IFERROR(IF(Loan_Not_Paid*Values_Entered,Interest,""), "")</f>
        <v>356.16212676031051</v>
      </c>
      <c r="G62" s="77">
        <f ca="1">IFERROR(IF(Loan_Not_Paid*Values_Entered,Ending_Balance,""), "")</f>
        <v>17514.003650163271</v>
      </c>
      <c r="I62" s="25"/>
      <c r="J62" s="25"/>
      <c r="K62" s="25"/>
      <c r="L62" s="25"/>
      <c r="M62" s="25"/>
      <c r="N62" s="25"/>
      <c r="O62" s="25"/>
      <c r="P62" s="25"/>
      <c r="Q62" s="25"/>
      <c r="R62" s="25"/>
      <c r="S62" s="25"/>
      <c r="T62" s="25"/>
      <c r="U62" s="25"/>
      <c r="V62" s="25"/>
      <c r="W62" s="25"/>
      <c r="X62" s="25"/>
      <c r="Y62" s="25"/>
      <c r="Z62" s="25"/>
      <c r="AA62" s="25"/>
      <c r="AB62" s="25"/>
      <c r="AC62" s="25"/>
      <c r="AD62" s="25"/>
      <c r="AE62" s="25"/>
      <c r="AF62" s="25"/>
      <c r="AG62" s="25"/>
    </row>
    <row r="63" spans="1:33" ht="14.5">
      <c r="A63" s="74">
        <f ca="1">IFERROR(IF(Loan_Not_Paid*Values_Entered,Payment_Number,""), "")</f>
        <v>50</v>
      </c>
      <c r="B63" s="75">
        <f ca="1">IFERROR(IF(Loan_Not_Paid*Values_Entered,Payment_Date,""), "")</f>
        <v>47279</v>
      </c>
      <c r="C63" s="76">
        <f ca="1">IFERROR(IF(Loan_Not_Paid*Values_Entered,Beginning_Balance,""), "")</f>
        <v>17514.003650163271</v>
      </c>
      <c r="D63" s="76">
        <f ca="1">IFERROR(IF(Loan_Not_Paid*Values_Entered,Monthly_Payment,""), "")</f>
        <v>466.67608947837732</v>
      </c>
      <c r="E63" s="76">
        <f ca="1">IFERROR(IF(Loan_Not_Paid*Values_Entered,Principal,""), "")</f>
        <v>112.74726571466103</v>
      </c>
      <c r="F63" s="76">
        <f ca="1">IFERROR(IF(Loan_Not_Paid*Values_Entered,Interest,""), "")</f>
        <v>353.9288237637162</v>
      </c>
      <c r="G63" s="77">
        <f ca="1">IFERROR(IF(Loan_Not_Paid*Values_Entered,Ending_Balance,""), "")</f>
        <v>17401.256384448607</v>
      </c>
      <c r="I63" s="25"/>
      <c r="J63" s="25"/>
      <c r="K63" s="25"/>
      <c r="L63" s="25"/>
      <c r="M63" s="25"/>
      <c r="N63" s="25"/>
      <c r="O63" s="25"/>
      <c r="P63" s="25"/>
      <c r="Q63" s="25"/>
      <c r="R63" s="25"/>
      <c r="S63" s="25"/>
      <c r="T63" s="25"/>
      <c r="U63" s="25"/>
      <c r="V63" s="25"/>
      <c r="W63" s="25"/>
      <c r="X63" s="25"/>
      <c r="Y63" s="25"/>
      <c r="Z63" s="25"/>
      <c r="AA63" s="25"/>
      <c r="AB63" s="25"/>
      <c r="AC63" s="25"/>
      <c r="AD63" s="25"/>
      <c r="AE63" s="25"/>
      <c r="AF63" s="25"/>
      <c r="AG63" s="25"/>
    </row>
    <row r="64" spans="1:33" ht="14.5">
      <c r="A64" s="74">
        <f ca="1">IFERROR(IF(Loan_Not_Paid*Values_Entered,Payment_Number,""), "")</f>
        <v>51</v>
      </c>
      <c r="B64" s="75">
        <f ca="1">IFERROR(IF(Loan_Not_Paid*Values_Entered,Payment_Date,""), "")</f>
        <v>47309</v>
      </c>
      <c r="C64" s="76">
        <f ca="1">IFERROR(IF(Loan_Not_Paid*Values_Entered,Beginning_Balance,""), "")</f>
        <v>17401.256384448607</v>
      </c>
      <c r="D64" s="76">
        <f ca="1">IFERROR(IF(Loan_Not_Paid*Values_Entered,Monthly_Payment,""), "")</f>
        <v>466.67608947837732</v>
      </c>
      <c r="E64" s="76">
        <f ca="1">IFERROR(IF(Loan_Not_Paid*Values_Entered,Principal,""), "")</f>
        <v>115.02570004264481</v>
      </c>
      <c r="F64" s="76">
        <f ca="1">IFERROR(IF(Loan_Not_Paid*Values_Entered,Interest,""), "")</f>
        <v>351.65038943573245</v>
      </c>
      <c r="G64" s="77">
        <f ca="1">IFERROR(IF(Loan_Not_Paid*Values_Entered,Ending_Balance,""), "")</f>
        <v>17286.230684405957</v>
      </c>
      <c r="I64" s="25"/>
      <c r="J64" s="25"/>
      <c r="K64" s="25"/>
      <c r="L64" s="25"/>
      <c r="M64" s="25"/>
      <c r="N64" s="25"/>
      <c r="O64" s="25"/>
      <c r="P64" s="25"/>
      <c r="Q64" s="25"/>
      <c r="R64" s="25"/>
      <c r="S64" s="25"/>
      <c r="T64" s="25"/>
      <c r="U64" s="25"/>
      <c r="V64" s="25"/>
      <c r="W64" s="25"/>
      <c r="X64" s="25"/>
      <c r="Y64" s="25"/>
      <c r="Z64" s="25"/>
      <c r="AA64" s="25"/>
      <c r="AB64" s="25"/>
      <c r="AC64" s="25"/>
      <c r="AD64" s="25"/>
      <c r="AE64" s="25"/>
      <c r="AF64" s="25"/>
      <c r="AG64" s="25"/>
    </row>
    <row r="65" spans="1:33" ht="14.5">
      <c r="A65" s="74">
        <f ca="1">IFERROR(IF(Loan_Not_Paid*Values_Entered,Payment_Number,""), "")</f>
        <v>52</v>
      </c>
      <c r="B65" s="75">
        <f ca="1">IFERROR(IF(Loan_Not_Paid*Values_Entered,Payment_Date,""), "")</f>
        <v>47340</v>
      </c>
      <c r="C65" s="76">
        <f ca="1">IFERROR(IF(Loan_Not_Paid*Values_Entered,Beginning_Balance,""), "")</f>
        <v>17286.230684405957</v>
      </c>
      <c r="D65" s="76">
        <f ca="1">IFERROR(IF(Loan_Not_Paid*Values_Entered,Monthly_Payment,""), "")</f>
        <v>466.67608947837732</v>
      </c>
      <c r="E65" s="76">
        <f ca="1">IFERROR(IF(Loan_Not_Paid*Values_Entered,Principal,""), "")</f>
        <v>117.3501777310066</v>
      </c>
      <c r="F65" s="76">
        <f ca="1">IFERROR(IF(Loan_Not_Paid*Values_Entered,Interest,""), "")</f>
        <v>349.3259117473707</v>
      </c>
      <c r="G65" s="77">
        <f ca="1">IFERROR(IF(Loan_Not_Paid*Values_Entered,Ending_Balance,""), "")</f>
        <v>17168.880506674948</v>
      </c>
      <c r="I65" s="25"/>
      <c r="J65" s="25"/>
      <c r="K65" s="25"/>
      <c r="L65" s="25"/>
      <c r="M65" s="25"/>
      <c r="N65" s="25"/>
      <c r="O65" s="25"/>
      <c r="P65" s="25"/>
      <c r="Q65" s="25"/>
      <c r="R65" s="25"/>
      <c r="S65" s="25"/>
      <c r="T65" s="25"/>
      <c r="U65" s="25"/>
      <c r="V65" s="25"/>
      <c r="W65" s="25"/>
      <c r="X65" s="25"/>
      <c r="Y65" s="25"/>
      <c r="Z65" s="25"/>
      <c r="AA65" s="25"/>
      <c r="AB65" s="25"/>
      <c r="AC65" s="25"/>
      <c r="AD65" s="25"/>
      <c r="AE65" s="25"/>
      <c r="AF65" s="25"/>
      <c r="AG65" s="25"/>
    </row>
    <row r="66" spans="1:33" ht="14.5">
      <c r="A66" s="74">
        <f ca="1">IFERROR(IF(Loan_Not_Paid*Values_Entered,Payment_Number,""), "")</f>
        <v>53</v>
      </c>
      <c r="B66" s="75">
        <f ca="1">IFERROR(IF(Loan_Not_Paid*Values_Entered,Payment_Date,""), "")</f>
        <v>47371</v>
      </c>
      <c r="C66" s="76">
        <f ca="1">IFERROR(IF(Loan_Not_Paid*Values_Entered,Beginning_Balance,""), "")</f>
        <v>17168.880506674948</v>
      </c>
      <c r="D66" s="76">
        <f ca="1">IFERROR(IF(Loan_Not_Paid*Values_Entered,Monthly_Payment,""), "")</f>
        <v>466.67608947837732</v>
      </c>
      <c r="E66" s="76">
        <f ca="1">IFERROR(IF(Loan_Not_Paid*Values_Entered,Principal,""), "")</f>
        <v>119.72162923932069</v>
      </c>
      <c r="F66" s="76">
        <f ca="1">IFERROR(IF(Loan_Not_Paid*Values_Entered,Interest,""), "")</f>
        <v>346.95446023905663</v>
      </c>
      <c r="G66" s="77">
        <f ca="1">IFERROR(IF(Loan_Not_Paid*Values_Entered,Ending_Balance,""), "")</f>
        <v>17049.158877435635</v>
      </c>
      <c r="I66" s="25"/>
      <c r="J66" s="25"/>
      <c r="K66" s="25"/>
      <c r="L66" s="25"/>
      <c r="M66" s="25"/>
      <c r="N66" s="25"/>
      <c r="O66" s="25"/>
      <c r="P66" s="25"/>
      <c r="Q66" s="25"/>
      <c r="R66" s="25"/>
      <c r="S66" s="25"/>
      <c r="T66" s="25"/>
      <c r="U66" s="25"/>
      <c r="V66" s="25"/>
      <c r="W66" s="25"/>
      <c r="X66" s="25"/>
      <c r="Y66" s="25"/>
      <c r="Z66" s="25"/>
      <c r="AA66" s="25"/>
      <c r="AB66" s="25"/>
      <c r="AC66" s="25"/>
      <c r="AD66" s="25"/>
      <c r="AE66" s="25"/>
      <c r="AF66" s="25"/>
      <c r="AG66" s="25"/>
    </row>
    <row r="67" spans="1:33" ht="14.5">
      <c r="A67" s="74">
        <f ca="1">IFERROR(IF(Loan_Not_Paid*Values_Entered,Payment_Number,""), "")</f>
        <v>54</v>
      </c>
      <c r="B67" s="75">
        <f ca="1">IFERROR(IF(Loan_Not_Paid*Values_Entered,Payment_Date,""), "")</f>
        <v>47401</v>
      </c>
      <c r="C67" s="76">
        <f ca="1">IFERROR(IF(Loan_Not_Paid*Values_Entered,Beginning_Balance,""), "")</f>
        <v>17049.158877435635</v>
      </c>
      <c r="D67" s="76">
        <f ca="1">IFERROR(IF(Loan_Not_Paid*Values_Entered,Monthly_Payment,""), "")</f>
        <v>466.67608947837732</v>
      </c>
      <c r="E67" s="76">
        <f ca="1">IFERROR(IF(Loan_Not_Paid*Values_Entered,Principal,""), "")</f>
        <v>122.14100383019863</v>
      </c>
      <c r="F67" s="76">
        <f ca="1">IFERROR(IF(Loan_Not_Paid*Values_Entered,Interest,""), "")</f>
        <v>344.53508564817872</v>
      </c>
      <c r="G67" s="77">
        <f ca="1">IFERROR(IF(Loan_Not_Paid*Values_Entered,Ending_Balance,""), "")</f>
        <v>16927.017873605429</v>
      </c>
      <c r="I67" s="25"/>
      <c r="J67" s="25"/>
      <c r="K67" s="25"/>
      <c r="L67" s="25"/>
      <c r="M67" s="25"/>
      <c r="N67" s="25"/>
      <c r="O67" s="25"/>
      <c r="P67" s="25"/>
      <c r="Q67" s="25"/>
      <c r="R67" s="25"/>
      <c r="S67" s="25"/>
      <c r="T67" s="25"/>
      <c r="U67" s="25"/>
      <c r="V67" s="25"/>
      <c r="W67" s="25"/>
      <c r="X67" s="25"/>
      <c r="Y67" s="25"/>
      <c r="Z67" s="25"/>
      <c r="AA67" s="25"/>
      <c r="AB67" s="25"/>
      <c r="AC67" s="25"/>
      <c r="AD67" s="25"/>
      <c r="AE67" s="25"/>
      <c r="AF67" s="25"/>
      <c r="AG67" s="25"/>
    </row>
    <row r="68" spans="1:33" ht="14.5">
      <c r="A68" s="74">
        <f ca="1">IFERROR(IF(Loan_Not_Paid*Values_Entered,Payment_Number,""), "")</f>
        <v>55</v>
      </c>
      <c r="B68" s="75">
        <f ca="1">IFERROR(IF(Loan_Not_Paid*Values_Entered,Payment_Date,""), "")</f>
        <v>47432</v>
      </c>
      <c r="C68" s="76">
        <f ca="1">IFERROR(IF(Loan_Not_Paid*Values_Entered,Beginning_Balance,""), "")</f>
        <v>16927.017873605429</v>
      </c>
      <c r="D68" s="76">
        <f ca="1">IFERROR(IF(Loan_Not_Paid*Values_Entered,Monthly_Payment,""), "")</f>
        <v>466.67608947837732</v>
      </c>
      <c r="E68" s="76">
        <f ca="1">IFERROR(IF(Loan_Not_Paid*Values_Entered,Principal,""), "")</f>
        <v>124.60926994926722</v>
      </c>
      <c r="F68" s="76">
        <f ca="1">IFERROR(IF(Loan_Not_Paid*Values_Entered,Interest,""), "")</f>
        <v>342.06681952911003</v>
      </c>
      <c r="G68" s="77">
        <f ca="1">IFERROR(IF(Loan_Not_Paid*Values_Entered,Ending_Balance,""), "")</f>
        <v>16802.408603656164</v>
      </c>
      <c r="I68" s="25"/>
      <c r="J68" s="25"/>
      <c r="K68" s="25"/>
      <c r="L68" s="25"/>
      <c r="M68" s="25"/>
      <c r="N68" s="25"/>
      <c r="O68" s="25"/>
      <c r="P68" s="25"/>
      <c r="Q68" s="25"/>
      <c r="R68" s="25"/>
      <c r="S68" s="25"/>
      <c r="T68" s="25"/>
      <c r="U68" s="25"/>
      <c r="V68" s="25"/>
      <c r="W68" s="25"/>
      <c r="X68" s="25"/>
      <c r="Y68" s="25"/>
      <c r="Z68" s="25"/>
      <c r="AA68" s="25"/>
      <c r="AB68" s="25"/>
      <c r="AC68" s="25"/>
      <c r="AD68" s="25"/>
      <c r="AE68" s="25"/>
      <c r="AF68" s="25"/>
      <c r="AG68" s="25"/>
    </row>
    <row r="69" spans="1:33" ht="14.5">
      <c r="A69" s="74">
        <f ca="1">IFERROR(IF(Loan_Not_Paid*Values_Entered,Payment_Number,""), "")</f>
        <v>56</v>
      </c>
      <c r="B69" s="75">
        <f ca="1">IFERROR(IF(Loan_Not_Paid*Values_Entered,Payment_Date,""), "")</f>
        <v>47462</v>
      </c>
      <c r="C69" s="76">
        <f ca="1">IFERROR(IF(Loan_Not_Paid*Values_Entered,Beginning_Balance,""), "")</f>
        <v>16802.408603656164</v>
      </c>
      <c r="D69" s="76">
        <f ca="1">IFERROR(IF(Loan_Not_Paid*Values_Entered,Monthly_Payment,""), "")</f>
        <v>466.67608947837732</v>
      </c>
      <c r="E69" s="76">
        <f ca="1">IFERROR(IF(Loan_Not_Paid*Values_Entered,Principal,""), "")</f>
        <v>127.12741561282535</v>
      </c>
      <c r="F69" s="76">
        <f ca="1">IFERROR(IF(Loan_Not_Paid*Values_Entered,Interest,""), "")</f>
        <v>339.54867386555196</v>
      </c>
      <c r="G69" s="77">
        <f ca="1">IFERROR(IF(Loan_Not_Paid*Values_Entered,Ending_Balance,""), "")</f>
        <v>16675.281188043336</v>
      </c>
      <c r="I69" s="25"/>
      <c r="J69" s="25"/>
      <c r="K69" s="25"/>
      <c r="L69" s="25"/>
      <c r="M69" s="25"/>
      <c r="N69" s="25"/>
      <c r="O69" s="25"/>
      <c r="P69" s="25"/>
      <c r="Q69" s="25"/>
      <c r="R69" s="25"/>
      <c r="S69" s="25"/>
      <c r="T69" s="25"/>
      <c r="U69" s="25"/>
      <c r="V69" s="25"/>
      <c r="W69" s="25"/>
      <c r="X69" s="25"/>
      <c r="Y69" s="25"/>
      <c r="Z69" s="25"/>
      <c r="AA69" s="25"/>
      <c r="AB69" s="25"/>
      <c r="AC69" s="25"/>
      <c r="AD69" s="25"/>
      <c r="AE69" s="25"/>
      <c r="AF69" s="25"/>
      <c r="AG69" s="25"/>
    </row>
    <row r="70" spans="1:33" ht="14.5">
      <c r="A70" s="74">
        <f ca="1">IFERROR(IF(Loan_Not_Paid*Values_Entered,Payment_Number,""), "")</f>
        <v>57</v>
      </c>
      <c r="B70" s="75">
        <f ca="1">IFERROR(IF(Loan_Not_Paid*Values_Entered,Payment_Date,""), "")</f>
        <v>47493</v>
      </c>
      <c r="C70" s="76">
        <f ca="1">IFERROR(IF(Loan_Not_Paid*Values_Entered,Beginning_Balance,""), "")</f>
        <v>16675.281188043336</v>
      </c>
      <c r="D70" s="76">
        <f ca="1">IFERROR(IF(Loan_Not_Paid*Values_Entered,Monthly_Payment,""), "")</f>
        <v>466.67608947837732</v>
      </c>
      <c r="E70" s="76">
        <f ca="1">IFERROR(IF(Loan_Not_Paid*Values_Entered,Principal,""), "")</f>
        <v>129.69644880333453</v>
      </c>
      <c r="F70" s="76">
        <f ca="1">IFERROR(IF(Loan_Not_Paid*Values_Entered,Interest,""), "")</f>
        <v>336.97964067504279</v>
      </c>
      <c r="G70" s="77">
        <f ca="1">IFERROR(IF(Loan_Not_Paid*Values_Entered,Ending_Balance,""), "")</f>
        <v>16545.584739240003</v>
      </c>
      <c r="I70" s="25"/>
      <c r="J70" s="25"/>
      <c r="K70" s="25"/>
      <c r="L70" s="25"/>
      <c r="M70" s="25"/>
      <c r="N70" s="25"/>
      <c r="O70" s="25"/>
      <c r="P70" s="25"/>
      <c r="Q70" s="25"/>
      <c r="R70" s="25"/>
      <c r="S70" s="25"/>
      <c r="T70" s="25"/>
      <c r="U70" s="25"/>
      <c r="V70" s="25"/>
      <c r="W70" s="25"/>
      <c r="X70" s="25"/>
      <c r="Y70" s="25"/>
      <c r="Z70" s="25"/>
      <c r="AA70" s="25"/>
      <c r="AB70" s="25"/>
      <c r="AC70" s="25"/>
      <c r="AD70" s="25"/>
      <c r="AE70" s="25"/>
      <c r="AF70" s="25"/>
      <c r="AG70" s="25"/>
    </row>
    <row r="71" spans="1:33" ht="14.5">
      <c r="A71" s="74">
        <f ca="1">IFERROR(IF(Loan_Not_Paid*Values_Entered,Payment_Number,""), "")</f>
        <v>58</v>
      </c>
      <c r="B71" s="75">
        <f ca="1">IFERROR(IF(Loan_Not_Paid*Values_Entered,Payment_Date,""), "")</f>
        <v>47524</v>
      </c>
      <c r="C71" s="76">
        <f ca="1">IFERROR(IF(Loan_Not_Paid*Values_Entered,Beginning_Balance,""), "")</f>
        <v>16545.584739240003</v>
      </c>
      <c r="D71" s="76">
        <f ca="1">IFERROR(IF(Loan_Not_Paid*Values_Entered,Monthly_Payment,""), "")</f>
        <v>466.67608947837732</v>
      </c>
      <c r="E71" s="76">
        <f ca="1">IFERROR(IF(Loan_Not_Paid*Values_Entered,Principal,""), "")</f>
        <v>132.31739787290189</v>
      </c>
      <c r="F71" s="76">
        <f ca="1">IFERROR(IF(Loan_Not_Paid*Values_Entered,Interest,""), "")</f>
        <v>334.35869160547537</v>
      </c>
      <c r="G71" s="77">
        <f ca="1">IFERROR(IF(Loan_Not_Paid*Values_Entered,Ending_Balance,""), "")</f>
        <v>16413.267341367093</v>
      </c>
      <c r="I71" s="25"/>
      <c r="J71" s="25"/>
      <c r="K71" s="25"/>
      <c r="L71" s="25"/>
      <c r="M71" s="25"/>
      <c r="N71" s="25"/>
      <c r="O71" s="25"/>
      <c r="P71" s="25"/>
      <c r="Q71" s="25"/>
      <c r="R71" s="25"/>
      <c r="S71" s="25"/>
      <c r="T71" s="25"/>
      <c r="U71" s="25"/>
      <c r="V71" s="25"/>
      <c r="W71" s="25"/>
      <c r="X71" s="25"/>
      <c r="Y71" s="25"/>
      <c r="Z71" s="25"/>
      <c r="AA71" s="25"/>
      <c r="AB71" s="25"/>
      <c r="AC71" s="25"/>
      <c r="AD71" s="25"/>
      <c r="AE71" s="25"/>
      <c r="AF71" s="25"/>
      <c r="AG71" s="25"/>
    </row>
    <row r="72" spans="1:33" ht="14.5">
      <c r="A72" s="74">
        <f ca="1">IFERROR(IF(Loan_Not_Paid*Values_Entered,Payment_Number,""), "")</f>
        <v>59</v>
      </c>
      <c r="B72" s="75">
        <f ca="1">IFERROR(IF(Loan_Not_Paid*Values_Entered,Payment_Date,""), "")</f>
        <v>47552</v>
      </c>
      <c r="C72" s="76">
        <f ca="1">IFERROR(IF(Loan_Not_Paid*Values_Entered,Beginning_Balance,""), "")</f>
        <v>16413.267341367093</v>
      </c>
      <c r="D72" s="76">
        <f ca="1">IFERROR(IF(Loan_Not_Paid*Values_Entered,Monthly_Payment,""), "")</f>
        <v>466.67608947837732</v>
      </c>
      <c r="E72" s="76">
        <f ca="1">IFERROR(IF(Loan_Not_Paid*Values_Entered,Principal,""), "")</f>
        <v>134.9913119549168</v>
      </c>
      <c r="F72" s="76">
        <f ca="1">IFERROR(IF(Loan_Not_Paid*Values_Entered,Interest,""), "")</f>
        <v>331.68477752346047</v>
      </c>
      <c r="G72" s="77">
        <f ca="1">IFERROR(IF(Loan_Not_Paid*Values_Entered,Ending_Balance,""), "")</f>
        <v>16278.276029412191</v>
      </c>
      <c r="I72" s="25"/>
      <c r="J72" s="25"/>
      <c r="K72" s="25"/>
      <c r="L72" s="25"/>
      <c r="M72" s="25"/>
      <c r="N72" s="25"/>
      <c r="O72" s="25"/>
      <c r="P72" s="25"/>
      <c r="Q72" s="25"/>
      <c r="R72" s="25"/>
      <c r="S72" s="25"/>
      <c r="T72" s="25"/>
      <c r="U72" s="25"/>
      <c r="V72" s="25"/>
      <c r="W72" s="25"/>
      <c r="X72" s="25"/>
      <c r="Y72" s="25"/>
      <c r="Z72" s="25"/>
      <c r="AA72" s="25"/>
      <c r="AB72" s="25"/>
      <c r="AC72" s="25"/>
      <c r="AD72" s="25"/>
      <c r="AE72" s="25"/>
      <c r="AF72" s="25"/>
      <c r="AG72" s="25"/>
    </row>
    <row r="73" spans="1:33" ht="14.5">
      <c r="A73" s="74">
        <f ca="1">IFERROR(IF(Loan_Not_Paid*Values_Entered,Payment_Number,""), "")</f>
        <v>60</v>
      </c>
      <c r="B73" s="75">
        <f ca="1">IFERROR(IF(Loan_Not_Paid*Values_Entered,Payment_Date,""), "")</f>
        <v>47583</v>
      </c>
      <c r="C73" s="76">
        <f ca="1">IFERROR(IF(Loan_Not_Paid*Values_Entered,Beginning_Balance,""), "")</f>
        <v>16278.276029412191</v>
      </c>
      <c r="D73" s="76">
        <f ca="1">IFERROR(IF(Loan_Not_Paid*Values_Entered,Monthly_Payment,""), "")</f>
        <v>466.67608947837732</v>
      </c>
      <c r="E73" s="76">
        <f ca="1">IFERROR(IF(Loan_Not_Paid*Values_Entered,Principal,""), "")</f>
        <v>137.71926138400573</v>
      </c>
      <c r="F73" s="76">
        <f ca="1">IFERROR(IF(Loan_Not_Paid*Values_Entered,Interest,""), "")</f>
        <v>328.95682809437159</v>
      </c>
      <c r="G73" s="77">
        <f ca="1">IFERROR(IF(Loan_Not_Paid*Values_Entered,Ending_Balance,""), "")</f>
        <v>16140.556768028182</v>
      </c>
      <c r="I73" s="25"/>
      <c r="J73" s="25"/>
      <c r="K73" s="25"/>
      <c r="L73" s="25"/>
      <c r="M73" s="25"/>
      <c r="N73" s="25"/>
      <c r="O73" s="25"/>
      <c r="P73" s="25"/>
      <c r="Q73" s="25"/>
      <c r="R73" s="25"/>
      <c r="S73" s="25"/>
      <c r="T73" s="25"/>
      <c r="U73" s="25"/>
      <c r="V73" s="25"/>
      <c r="W73" s="25"/>
      <c r="X73" s="25"/>
      <c r="Y73" s="25"/>
      <c r="Z73" s="25"/>
      <c r="AA73" s="25"/>
      <c r="AB73" s="25"/>
      <c r="AC73" s="25"/>
      <c r="AD73" s="25"/>
      <c r="AE73" s="25"/>
      <c r="AF73" s="25"/>
      <c r="AG73" s="25"/>
    </row>
    <row r="74" spans="1:33" ht="14.5">
      <c r="A74" s="74">
        <f ca="1">IFERROR(IF(Loan_Not_Paid*Values_Entered,Payment_Number,""), "")</f>
        <v>61</v>
      </c>
      <c r="B74" s="75">
        <f ca="1">IFERROR(IF(Loan_Not_Paid*Values_Entered,Payment_Date,""), "")</f>
        <v>47613</v>
      </c>
      <c r="C74" s="76">
        <f ca="1">IFERROR(IF(Loan_Not_Paid*Values_Entered,Beginning_Balance,""), "")</f>
        <v>16140.556768028182</v>
      </c>
      <c r="D74" s="76">
        <f ca="1">IFERROR(IF(Loan_Not_Paid*Values_Entered,Monthly_Payment,""), "")</f>
        <v>466.67608947837732</v>
      </c>
      <c r="E74" s="76">
        <f ca="1">IFERROR(IF(Loan_Not_Paid*Values_Entered,Principal,""), "")</f>
        <v>140.50233812447419</v>
      </c>
      <c r="F74" s="76">
        <f ca="1">IFERROR(IF(Loan_Not_Paid*Values_Entered,Interest,""), "")</f>
        <v>326.17375135390313</v>
      </c>
      <c r="G74" s="77">
        <f ca="1">IFERROR(IF(Loan_Not_Paid*Values_Entered,Ending_Balance,""), "")</f>
        <v>16000.054429903699</v>
      </c>
      <c r="I74" s="25"/>
      <c r="J74" s="25"/>
      <c r="K74" s="25"/>
      <c r="L74" s="25"/>
      <c r="M74" s="25"/>
      <c r="N74" s="25"/>
      <c r="O74" s="25"/>
      <c r="P74" s="25"/>
      <c r="Q74" s="25"/>
      <c r="R74" s="25"/>
      <c r="S74" s="25"/>
      <c r="T74" s="25"/>
      <c r="U74" s="25"/>
      <c r="V74" s="25"/>
      <c r="W74" s="25"/>
      <c r="X74" s="25"/>
      <c r="Y74" s="25"/>
      <c r="Z74" s="25"/>
      <c r="AA74" s="25"/>
      <c r="AB74" s="25"/>
      <c r="AC74" s="25"/>
      <c r="AD74" s="25"/>
      <c r="AE74" s="25"/>
      <c r="AF74" s="25"/>
      <c r="AG74" s="25"/>
    </row>
    <row r="75" spans="1:33" ht="14.5">
      <c r="A75" s="74">
        <f ca="1">IFERROR(IF(Loan_Not_Paid*Values_Entered,Payment_Number,""), "")</f>
        <v>62</v>
      </c>
      <c r="B75" s="75">
        <f ca="1">IFERROR(IF(Loan_Not_Paid*Values_Entered,Payment_Date,""), "")</f>
        <v>47644</v>
      </c>
      <c r="C75" s="76">
        <f ca="1">IFERROR(IF(Loan_Not_Paid*Values_Entered,Beginning_Balance,""), "")</f>
        <v>16000.054429903699</v>
      </c>
      <c r="D75" s="76">
        <f ca="1">IFERROR(IF(Loan_Not_Paid*Values_Entered,Monthly_Payment,""), "")</f>
        <v>466.67608947837732</v>
      </c>
      <c r="E75" s="76">
        <f ca="1">IFERROR(IF(Loan_Not_Paid*Values_Entered,Principal,""), "")</f>
        <v>143.34165620740626</v>
      </c>
      <c r="F75" s="76">
        <f ca="1">IFERROR(IF(Loan_Not_Paid*Values_Entered,Interest,""), "")</f>
        <v>323.33443327097109</v>
      </c>
      <c r="G75" s="77">
        <f ca="1">IFERROR(IF(Loan_Not_Paid*Values_Entered,Ending_Balance,""), "")</f>
        <v>15856.712773696301</v>
      </c>
      <c r="I75" s="25"/>
      <c r="J75" s="25"/>
      <c r="K75" s="25"/>
      <c r="L75" s="25"/>
      <c r="M75" s="25"/>
      <c r="N75" s="25"/>
      <c r="O75" s="25"/>
      <c r="P75" s="25"/>
      <c r="Q75" s="25"/>
      <c r="R75" s="25"/>
      <c r="S75" s="25"/>
      <c r="T75" s="25"/>
      <c r="U75" s="25"/>
      <c r="V75" s="25"/>
      <c r="W75" s="25"/>
      <c r="X75" s="25"/>
      <c r="Y75" s="25"/>
      <c r="Z75" s="25"/>
      <c r="AA75" s="25"/>
      <c r="AB75" s="25"/>
      <c r="AC75" s="25"/>
      <c r="AD75" s="25"/>
      <c r="AE75" s="25"/>
      <c r="AF75" s="25"/>
      <c r="AG75" s="25"/>
    </row>
    <row r="76" spans="1:33" ht="14.5">
      <c r="A76" s="74">
        <f ca="1">IFERROR(IF(Loan_Not_Paid*Values_Entered,Payment_Number,""), "")</f>
        <v>63</v>
      </c>
      <c r="B76" s="75">
        <f ca="1">IFERROR(IF(Loan_Not_Paid*Values_Entered,Payment_Date,""), "")</f>
        <v>47674</v>
      </c>
      <c r="C76" s="76">
        <f ca="1">IFERROR(IF(Loan_Not_Paid*Values_Entered,Beginning_Balance,""), "")</f>
        <v>15856.712773696301</v>
      </c>
      <c r="D76" s="76">
        <f ca="1">IFERROR(IF(Loan_Not_Paid*Values_Entered,Monthly_Payment,""), "")</f>
        <v>466.67608947837732</v>
      </c>
      <c r="E76" s="76">
        <f ca="1">IFERROR(IF(Loan_Not_Paid*Values_Entered,Principal,""), "")</f>
        <v>146.23835217659763</v>
      </c>
      <c r="F76" s="76">
        <f ca="1">IFERROR(IF(Loan_Not_Paid*Values_Entered,Interest,""), "")</f>
        <v>320.43773730177969</v>
      </c>
      <c r="G76" s="77">
        <f ca="1">IFERROR(IF(Loan_Not_Paid*Values_Entered,Ending_Balance,""), "")</f>
        <v>15710.474421519699</v>
      </c>
      <c r="I76" s="25"/>
      <c r="J76" s="25"/>
      <c r="K76" s="25"/>
      <c r="L76" s="25"/>
      <c r="M76" s="25"/>
      <c r="N76" s="25"/>
      <c r="O76" s="25"/>
      <c r="P76" s="25"/>
      <c r="Q76" s="25"/>
      <c r="R76" s="25"/>
      <c r="S76" s="25"/>
      <c r="T76" s="25"/>
      <c r="U76" s="25"/>
      <c r="V76" s="25"/>
      <c r="W76" s="25"/>
      <c r="X76" s="25"/>
      <c r="Y76" s="25"/>
      <c r="Z76" s="25"/>
      <c r="AA76" s="25"/>
      <c r="AB76" s="25"/>
      <c r="AC76" s="25"/>
      <c r="AD76" s="25"/>
      <c r="AE76" s="25"/>
      <c r="AF76" s="25"/>
      <c r="AG76" s="25"/>
    </row>
    <row r="77" spans="1:33" ht="14.5">
      <c r="A77" s="74">
        <f ca="1">IFERROR(IF(Loan_Not_Paid*Values_Entered,Payment_Number,""), "")</f>
        <v>64</v>
      </c>
      <c r="B77" s="75">
        <f ca="1">IFERROR(IF(Loan_Not_Paid*Values_Entered,Payment_Date,""), "")</f>
        <v>47705</v>
      </c>
      <c r="C77" s="76">
        <f ca="1">IFERROR(IF(Loan_Not_Paid*Values_Entered,Beginning_Balance,""), "")</f>
        <v>15710.474421519699</v>
      </c>
      <c r="D77" s="76">
        <f ca="1">IFERROR(IF(Loan_Not_Paid*Values_Entered,Monthly_Payment,""), "")</f>
        <v>466.67608947837732</v>
      </c>
      <c r="E77" s="76">
        <f ca="1">IFERROR(IF(Loan_Not_Paid*Values_Entered,Principal,""), "")</f>
        <v>149.19358554349969</v>
      </c>
      <c r="F77" s="76">
        <f ca="1">IFERROR(IF(Loan_Not_Paid*Values_Entered,Interest,""), "")</f>
        <v>317.48250393487768</v>
      </c>
      <c r="G77" s="76">
        <f ca="1">IFERROR(IF(Loan_Not_Paid*Values_Entered,Ending_Balance,""), "")</f>
        <v>15561.280835976198</v>
      </c>
      <c r="I77" s="25"/>
      <c r="J77" s="25"/>
      <c r="K77" s="25"/>
      <c r="L77" s="25"/>
      <c r="M77" s="25"/>
      <c r="N77" s="25"/>
      <c r="O77" s="25"/>
      <c r="P77" s="25"/>
      <c r="Q77" s="25"/>
      <c r="R77" s="25"/>
      <c r="S77" s="25"/>
      <c r="T77" s="25"/>
      <c r="U77" s="25"/>
      <c r="V77" s="25"/>
      <c r="W77" s="25"/>
      <c r="X77" s="25"/>
      <c r="Y77" s="25"/>
      <c r="Z77" s="25"/>
      <c r="AA77" s="25"/>
      <c r="AB77" s="25"/>
      <c r="AC77" s="25"/>
      <c r="AD77" s="25"/>
      <c r="AE77" s="25"/>
      <c r="AF77" s="25"/>
      <c r="AG77" s="25"/>
    </row>
    <row r="78" spans="1:33" ht="14.5">
      <c r="A78" s="74">
        <f ca="1">IFERROR(IF(Loan_Not_Paid*Values_Entered,Payment_Number,""), "")</f>
        <v>65</v>
      </c>
      <c r="B78" s="75">
        <f ca="1">IFERROR(IF(Loan_Not_Paid*Values_Entered,Payment_Date,""), "")</f>
        <v>47736</v>
      </c>
      <c r="C78" s="76">
        <f ca="1">IFERROR(IF(Loan_Not_Paid*Values_Entered,Beginning_Balance,""), "")</f>
        <v>15561.280835976198</v>
      </c>
      <c r="D78" s="76">
        <f ca="1">IFERROR(IF(Loan_Not_Paid*Values_Entered,Monthly_Payment,""), "")</f>
        <v>466.67608947837732</v>
      </c>
      <c r="E78" s="76">
        <f ca="1">IFERROR(IF(Loan_Not_Paid*Values_Entered,Principal,""), "")</f>
        <v>152.20853925135791</v>
      </c>
      <c r="F78" s="76">
        <f ca="1">IFERROR(IF(Loan_Not_Paid*Values_Entered,Interest,""), "")</f>
        <v>314.46755022701944</v>
      </c>
      <c r="G78" s="76">
        <f ca="1">IFERROR(IF(Loan_Not_Paid*Values_Entered,Ending_Balance,""), "")</f>
        <v>15409.072296724837</v>
      </c>
      <c r="I78" s="25"/>
      <c r="J78" s="25"/>
      <c r="K78" s="25"/>
      <c r="L78" s="25"/>
      <c r="M78" s="25"/>
      <c r="N78" s="25"/>
      <c r="O78" s="25"/>
      <c r="P78" s="25"/>
      <c r="Q78" s="25"/>
      <c r="R78" s="25"/>
      <c r="S78" s="25"/>
      <c r="T78" s="25"/>
      <c r="U78" s="25"/>
      <c r="V78" s="25"/>
      <c r="W78" s="25"/>
      <c r="X78" s="25"/>
      <c r="Y78" s="25"/>
      <c r="Z78" s="25"/>
      <c r="AA78" s="25"/>
      <c r="AB78" s="25"/>
      <c r="AC78" s="25"/>
      <c r="AD78" s="25"/>
      <c r="AE78" s="25"/>
      <c r="AF78" s="25"/>
      <c r="AG78" s="25"/>
    </row>
    <row r="79" spans="1:33" ht="14.5">
      <c r="A79" s="74">
        <f ca="1">IFERROR(IF(Loan_Not_Paid*Values_Entered,Payment_Number,""), "")</f>
        <v>66</v>
      </c>
      <c r="B79" s="75">
        <f ca="1">IFERROR(IF(Loan_Not_Paid*Values_Entered,Payment_Date,""), "")</f>
        <v>47766</v>
      </c>
      <c r="C79" s="76">
        <f ca="1">IFERROR(IF(Loan_Not_Paid*Values_Entered,Beginning_Balance,""), "")</f>
        <v>15409.072296724837</v>
      </c>
      <c r="D79" s="76">
        <f ca="1">IFERROR(IF(Loan_Not_Paid*Values_Entered,Monthly_Payment,""), "")</f>
        <v>466.67608947837732</v>
      </c>
      <c r="E79" s="76">
        <f ca="1">IFERROR(IF(Loan_Not_Paid*Values_Entered,Principal,""), "")</f>
        <v>155.28442014872908</v>
      </c>
      <c r="F79" s="76">
        <f ca="1">IFERROR(IF(Loan_Not_Paid*Values_Entered,Interest,""), "")</f>
        <v>311.39166932964821</v>
      </c>
      <c r="G79" s="76">
        <f ca="1">IFERROR(IF(Loan_Not_Paid*Values_Entered,Ending_Balance,""), "")</f>
        <v>15253.787876576112</v>
      </c>
      <c r="I79" s="25"/>
      <c r="J79" s="25"/>
      <c r="K79" s="25"/>
      <c r="L79" s="25"/>
      <c r="M79" s="25"/>
      <c r="N79" s="25"/>
      <c r="O79" s="25"/>
      <c r="P79" s="25"/>
      <c r="Q79" s="25"/>
      <c r="R79" s="25"/>
      <c r="S79" s="25"/>
      <c r="T79" s="25"/>
      <c r="U79" s="25"/>
      <c r="V79" s="25"/>
      <c r="W79" s="25"/>
      <c r="X79" s="25"/>
      <c r="Y79" s="25"/>
      <c r="Z79" s="25"/>
      <c r="AA79" s="25"/>
      <c r="AB79" s="25"/>
      <c r="AC79" s="25"/>
      <c r="AD79" s="25"/>
      <c r="AE79" s="25"/>
      <c r="AF79" s="25"/>
      <c r="AG79" s="25"/>
    </row>
    <row r="80" spans="1:33" ht="14.5">
      <c r="A80" s="74">
        <f ca="1">IFERROR(IF(Loan_Not_Paid*Values_Entered,Payment_Number,""), "")</f>
        <v>67</v>
      </c>
      <c r="B80" s="75">
        <f ca="1">IFERROR(IF(Loan_Not_Paid*Values_Entered,Payment_Date,""), "")</f>
        <v>47797</v>
      </c>
      <c r="C80" s="76">
        <f ca="1">IFERROR(IF(Loan_Not_Paid*Values_Entered,Beginning_Balance,""), "")</f>
        <v>15253.787876576112</v>
      </c>
      <c r="D80" s="76">
        <f ca="1">IFERROR(IF(Loan_Not_Paid*Values_Entered,Monthly_Payment,""), "")</f>
        <v>466.67608947837732</v>
      </c>
      <c r="E80" s="76">
        <f ca="1">IFERROR(IF(Loan_Not_Paid*Values_Entered,Principal,""), "")</f>
        <v>158.42245947256802</v>
      </c>
      <c r="F80" s="76">
        <f ca="1">IFERROR(IF(Loan_Not_Paid*Values_Entered,Interest,""), "")</f>
        <v>308.25363000580933</v>
      </c>
      <c r="G80" s="76">
        <f ca="1">IFERROR(IF(Loan_Not_Paid*Values_Entered,Ending_Balance,""), "")</f>
        <v>15095.365417103538</v>
      </c>
      <c r="I80" s="25"/>
      <c r="J80" s="25"/>
      <c r="K80" s="25"/>
      <c r="L80" s="25"/>
      <c r="M80" s="25"/>
      <c r="N80" s="25"/>
      <c r="O80" s="25"/>
      <c r="P80" s="25"/>
      <c r="Q80" s="25"/>
      <c r="R80" s="25"/>
      <c r="S80" s="25"/>
      <c r="T80" s="25"/>
      <c r="U80" s="25"/>
      <c r="V80" s="25"/>
      <c r="W80" s="25"/>
      <c r="X80" s="25"/>
      <c r="Y80" s="25"/>
      <c r="Z80" s="25"/>
      <c r="AA80" s="25"/>
      <c r="AB80" s="25"/>
      <c r="AC80" s="25"/>
      <c r="AD80" s="25"/>
      <c r="AE80" s="25"/>
      <c r="AF80" s="25"/>
      <c r="AG80" s="25"/>
    </row>
    <row r="81" spans="1:33" ht="14.5">
      <c r="A81" s="74">
        <f ca="1">IFERROR(IF(Loan_Not_Paid*Values_Entered,Payment_Number,""), "")</f>
        <v>68</v>
      </c>
      <c r="B81" s="75">
        <f ca="1">IFERROR(IF(Loan_Not_Paid*Values_Entered,Payment_Date,""), "")</f>
        <v>47827</v>
      </c>
      <c r="C81" s="76">
        <f ca="1">IFERROR(IF(Loan_Not_Paid*Values_Entered,Beginning_Balance,""), "")</f>
        <v>15095.365417103538</v>
      </c>
      <c r="D81" s="76">
        <f ca="1">IFERROR(IF(Loan_Not_Paid*Values_Entered,Monthly_Payment,""), "")</f>
        <v>466.67608947837732</v>
      </c>
      <c r="E81" s="76">
        <f ca="1">IFERROR(IF(Loan_Not_Paid*Values_Entered,Principal,""), "")</f>
        <v>161.62391334107613</v>
      </c>
      <c r="F81" s="76">
        <f ca="1">IFERROR(IF(Loan_Not_Paid*Values_Entered,Interest,""), "")</f>
        <v>305.05217613730116</v>
      </c>
      <c r="G81" s="76">
        <f ca="1">IFERROR(IF(Loan_Not_Paid*Values_Entered,Ending_Balance,""), "")</f>
        <v>14933.74150376246</v>
      </c>
      <c r="I81" s="25"/>
      <c r="J81" s="25"/>
      <c r="K81" s="25"/>
      <c r="L81" s="25"/>
      <c r="M81" s="25"/>
      <c r="N81" s="25"/>
      <c r="O81" s="25"/>
      <c r="P81" s="25"/>
      <c r="Q81" s="25"/>
      <c r="R81" s="25"/>
      <c r="S81" s="25"/>
      <c r="T81" s="25"/>
      <c r="U81" s="25"/>
      <c r="V81" s="25"/>
      <c r="W81" s="25"/>
      <c r="X81" s="25"/>
      <c r="Y81" s="25"/>
      <c r="Z81" s="25"/>
      <c r="AA81" s="25"/>
      <c r="AB81" s="25"/>
      <c r="AC81" s="25"/>
      <c r="AD81" s="25"/>
      <c r="AE81" s="25"/>
      <c r="AF81" s="25"/>
      <c r="AG81" s="25"/>
    </row>
    <row r="82" spans="1:33" ht="14.5">
      <c r="A82" s="74">
        <f ca="1">IFERROR(IF(Loan_Not_Paid*Values_Entered,Payment_Number,""), "")</f>
        <v>69</v>
      </c>
      <c r="B82" s="75">
        <f ca="1">IFERROR(IF(Loan_Not_Paid*Values_Entered,Payment_Date,""), "")</f>
        <v>47858</v>
      </c>
      <c r="C82" s="76">
        <f ca="1">IFERROR(IF(Loan_Not_Paid*Values_Entered,Beginning_Balance,""), "")</f>
        <v>14933.74150376246</v>
      </c>
      <c r="D82" s="76">
        <f ca="1">IFERROR(IF(Loan_Not_Paid*Values_Entered,Monthly_Payment,""), "")</f>
        <v>466.67608947837732</v>
      </c>
      <c r="E82" s="76">
        <f ca="1">IFERROR(IF(Loan_Not_Paid*Values_Entered,Principal,""), "")</f>
        <v>164.89006325651039</v>
      </c>
      <c r="F82" s="76">
        <f ca="1">IFERROR(IF(Loan_Not_Paid*Values_Entered,Interest,""), "")</f>
        <v>301.7860262218669</v>
      </c>
      <c r="G82" s="76">
        <f ca="1">IFERROR(IF(Loan_Not_Paid*Values_Entered,Ending_Balance,""), "")</f>
        <v>14768.851440505954</v>
      </c>
      <c r="I82" s="25"/>
      <c r="J82" s="25"/>
      <c r="K82" s="25"/>
      <c r="L82" s="25"/>
      <c r="M82" s="25"/>
      <c r="N82" s="25"/>
      <c r="O82" s="25"/>
      <c r="P82" s="25"/>
      <c r="Q82" s="25"/>
      <c r="R82" s="25"/>
      <c r="S82" s="25"/>
      <c r="T82" s="25"/>
      <c r="U82" s="25"/>
      <c r="V82" s="25"/>
      <c r="W82" s="25"/>
      <c r="X82" s="25"/>
      <c r="Y82" s="25"/>
      <c r="Z82" s="25"/>
      <c r="AA82" s="25"/>
      <c r="AB82" s="25"/>
      <c r="AC82" s="25"/>
      <c r="AD82" s="25"/>
      <c r="AE82" s="25"/>
      <c r="AF82" s="25"/>
      <c r="AG82" s="25"/>
    </row>
    <row r="83" spans="1:33" ht="14.5">
      <c r="A83" s="74">
        <f ca="1">IFERROR(IF(Loan_Not_Paid*Values_Entered,Payment_Number,""), "")</f>
        <v>70</v>
      </c>
      <c r="B83" s="75">
        <f ca="1">IFERROR(IF(Loan_Not_Paid*Values_Entered,Payment_Date,""), "")</f>
        <v>47889</v>
      </c>
      <c r="C83" s="76">
        <f ca="1">IFERROR(IF(Loan_Not_Paid*Values_Entered,Beginning_Balance,""), "")</f>
        <v>14768.851440505954</v>
      </c>
      <c r="D83" s="76">
        <f ca="1">IFERROR(IF(Loan_Not_Paid*Values_Entered,Monthly_Payment,""), "")</f>
        <v>466.67608947837732</v>
      </c>
      <c r="E83" s="76">
        <f ca="1">IFERROR(IF(Loan_Not_Paid*Values_Entered,Principal,""), "")</f>
        <v>168.22221661815237</v>
      </c>
      <c r="F83" s="76">
        <f ca="1">IFERROR(IF(Loan_Not_Paid*Values_Entered,Interest,""), "")</f>
        <v>298.45387286022492</v>
      </c>
      <c r="G83" s="76">
        <f ca="1">IFERROR(IF(Loan_Not_Paid*Values_Entered,Ending_Balance,""), "")</f>
        <v>14600.62922388778</v>
      </c>
      <c r="I83" s="25"/>
      <c r="J83" s="25"/>
      <c r="K83" s="25"/>
      <c r="L83" s="25"/>
      <c r="M83" s="25"/>
      <c r="N83" s="25"/>
      <c r="O83" s="25"/>
      <c r="P83" s="25"/>
      <c r="Q83" s="25"/>
      <c r="R83" s="25"/>
      <c r="S83" s="25"/>
      <c r="T83" s="25"/>
      <c r="U83" s="25"/>
      <c r="V83" s="25"/>
      <c r="W83" s="25"/>
      <c r="X83" s="25"/>
      <c r="Y83" s="25"/>
      <c r="Z83" s="25"/>
      <c r="AA83" s="25"/>
      <c r="AB83" s="25"/>
      <c r="AC83" s="25"/>
      <c r="AD83" s="25"/>
      <c r="AE83" s="25"/>
      <c r="AF83" s="25"/>
      <c r="AG83" s="25"/>
    </row>
    <row r="84" spans="1:33" ht="14.5">
      <c r="A84" s="74">
        <f ca="1">IFERROR(IF(Loan_Not_Paid*Values_Entered,Payment_Number,""), "")</f>
        <v>71</v>
      </c>
      <c r="B84" s="75">
        <f ca="1">IFERROR(IF(Loan_Not_Paid*Values_Entered,Payment_Date,""), "")</f>
        <v>47917</v>
      </c>
      <c r="C84" s="76">
        <f ca="1">IFERROR(IF(Loan_Not_Paid*Values_Entered,Beginning_Balance,""), "")</f>
        <v>14600.62922388778</v>
      </c>
      <c r="D84" s="76">
        <f ca="1">IFERROR(IF(Loan_Not_Paid*Values_Entered,Monthly_Payment,""), "")</f>
        <v>466.67608947837732</v>
      </c>
      <c r="E84" s="76">
        <f ca="1">IFERROR(IF(Loan_Not_Paid*Values_Entered,Principal,""), "")</f>
        <v>171.62170724564422</v>
      </c>
      <c r="F84" s="76">
        <f ca="1">IFERROR(IF(Loan_Not_Paid*Values_Entered,Interest,""), "")</f>
        <v>295.05438223273313</v>
      </c>
      <c r="G84" s="76">
        <f ca="1">IFERROR(IF(Loan_Not_Paid*Values_Entered,Ending_Balance,""), "")</f>
        <v>14429.007516642145</v>
      </c>
      <c r="I84" s="25"/>
      <c r="J84" s="25"/>
      <c r="K84" s="25"/>
      <c r="L84" s="25"/>
      <c r="M84" s="25"/>
      <c r="N84" s="25"/>
      <c r="O84" s="25"/>
      <c r="P84" s="25"/>
      <c r="Q84" s="25"/>
      <c r="R84" s="25"/>
      <c r="S84" s="25"/>
      <c r="T84" s="25"/>
      <c r="U84" s="25"/>
      <c r="V84" s="25"/>
      <c r="W84" s="25"/>
      <c r="X84" s="25"/>
      <c r="Y84" s="25"/>
      <c r="Z84" s="25"/>
      <c r="AA84" s="25"/>
      <c r="AB84" s="25"/>
      <c r="AC84" s="25"/>
      <c r="AD84" s="25"/>
      <c r="AE84" s="25"/>
      <c r="AF84" s="25"/>
      <c r="AG84" s="25"/>
    </row>
    <row r="85" spans="1:33" ht="14.5">
      <c r="A85" s="74">
        <f ca="1">IFERROR(IF(Loan_Not_Paid*Values_Entered,Payment_Number,""), "")</f>
        <v>72</v>
      </c>
      <c r="B85" s="75">
        <f ca="1">IFERROR(IF(Loan_Not_Paid*Values_Entered,Payment_Date,""), "")</f>
        <v>47948</v>
      </c>
      <c r="C85" s="76">
        <f ca="1">IFERROR(IF(Loan_Not_Paid*Values_Entered,Beginning_Balance,""), "")</f>
        <v>14429.007516642145</v>
      </c>
      <c r="D85" s="76">
        <f ca="1">IFERROR(IF(Loan_Not_Paid*Values_Entered,Monthly_Payment,""), "")</f>
        <v>466.67608947837732</v>
      </c>
      <c r="E85" s="76">
        <f ca="1">IFERROR(IF(Loan_Not_Paid*Values_Entered,Principal,""), "")</f>
        <v>175.08989591289992</v>
      </c>
      <c r="F85" s="76">
        <f ca="1">IFERROR(IF(Loan_Not_Paid*Values_Entered,Interest,""), "")</f>
        <v>291.5861935654774</v>
      </c>
      <c r="G85" s="76">
        <f ca="1">IFERROR(IF(Loan_Not_Paid*Values_Entered,Ending_Balance,""), "")</f>
        <v>14253.917620729248</v>
      </c>
      <c r="I85" s="25"/>
      <c r="J85" s="25"/>
      <c r="K85" s="25"/>
      <c r="L85" s="25"/>
      <c r="M85" s="25"/>
      <c r="N85" s="25"/>
      <c r="O85" s="25"/>
      <c r="P85" s="25"/>
      <c r="Q85" s="25"/>
      <c r="R85" s="25"/>
      <c r="S85" s="25"/>
      <c r="T85" s="25"/>
      <c r="U85" s="25"/>
      <c r="V85" s="25"/>
      <c r="W85" s="25"/>
      <c r="X85" s="25"/>
      <c r="Y85" s="25"/>
      <c r="Z85" s="25"/>
      <c r="AA85" s="25"/>
      <c r="AB85" s="25"/>
      <c r="AC85" s="25"/>
      <c r="AD85" s="25"/>
      <c r="AE85" s="25"/>
      <c r="AF85" s="25"/>
      <c r="AG85" s="25"/>
    </row>
    <row r="86" spans="1:33" ht="14.5">
      <c r="A86" s="74">
        <f ca="1">IFERROR(IF(Loan_Not_Paid*Values_Entered,Payment_Number,""), "")</f>
        <v>73</v>
      </c>
      <c r="B86" s="75">
        <f ca="1">IFERROR(IF(Loan_Not_Paid*Values_Entered,Payment_Date,""), "")</f>
        <v>47978</v>
      </c>
      <c r="C86" s="76">
        <f ca="1">IFERROR(IF(Loan_Not_Paid*Values_Entered,Beginning_Balance,""), "")</f>
        <v>14253.917620729248</v>
      </c>
      <c r="D86" s="76">
        <f ca="1">IFERROR(IF(Loan_Not_Paid*Values_Entered,Monthly_Payment,""), "")</f>
        <v>466.67608947837732</v>
      </c>
      <c r="E86" s="76">
        <f ca="1">IFERROR(IF(Loan_Not_Paid*Values_Entered,Principal,""), "")</f>
        <v>178.62817089280642</v>
      </c>
      <c r="F86" s="76">
        <f ca="1">IFERROR(IF(Loan_Not_Paid*Values_Entered,Interest,""), "")</f>
        <v>288.04791858557093</v>
      </c>
      <c r="G86" s="76">
        <f ca="1">IFERROR(IF(Loan_Not_Paid*Values_Entered,Ending_Balance,""), "")</f>
        <v>14075.289449836448</v>
      </c>
      <c r="I86" s="25"/>
      <c r="J86" s="25"/>
      <c r="K86" s="25"/>
      <c r="L86" s="25"/>
      <c r="M86" s="25"/>
      <c r="N86" s="25"/>
      <c r="O86" s="25"/>
      <c r="P86" s="25"/>
      <c r="Q86" s="25"/>
      <c r="R86" s="25"/>
      <c r="S86" s="25"/>
      <c r="T86" s="25"/>
      <c r="U86" s="25"/>
      <c r="V86" s="25"/>
      <c r="W86" s="25"/>
      <c r="X86" s="25"/>
      <c r="Y86" s="25"/>
      <c r="Z86" s="25"/>
      <c r="AA86" s="25"/>
      <c r="AB86" s="25"/>
      <c r="AC86" s="25"/>
      <c r="AD86" s="25"/>
      <c r="AE86" s="25"/>
      <c r="AF86" s="25"/>
      <c r="AG86" s="25"/>
    </row>
    <row r="87" spans="1:33" ht="14.5">
      <c r="A87" s="74">
        <f ca="1">IFERROR(IF(Loan_Not_Paid*Values_Entered,Payment_Number,""), "")</f>
        <v>74</v>
      </c>
      <c r="B87" s="75">
        <f ca="1">IFERROR(IF(Loan_Not_Paid*Values_Entered,Payment_Date,""), "")</f>
        <v>48009</v>
      </c>
      <c r="C87" s="76">
        <f ca="1">IFERROR(IF(Loan_Not_Paid*Values_Entered,Beginning_Balance,""), "")</f>
        <v>14075.289449836448</v>
      </c>
      <c r="D87" s="76">
        <f ca="1">IFERROR(IF(Loan_Not_Paid*Values_Entered,Monthly_Payment,""), "")</f>
        <v>466.67608947837732</v>
      </c>
      <c r="E87" s="76">
        <f ca="1">IFERROR(IF(Loan_Not_Paid*Values_Entered,Principal,""), "")</f>
        <v>182.23794851293189</v>
      </c>
      <c r="F87" s="76">
        <f ca="1">IFERROR(IF(Loan_Not_Paid*Values_Entered,Interest,""), "")</f>
        <v>284.43814096544537</v>
      </c>
      <c r="G87" s="76">
        <f ca="1">IFERROR(IF(Loan_Not_Paid*Values_Entered,Ending_Balance,""), "")</f>
        <v>13893.051501323513</v>
      </c>
      <c r="I87" s="25"/>
      <c r="J87" s="25"/>
      <c r="K87" s="25"/>
      <c r="L87" s="25"/>
      <c r="M87" s="25"/>
      <c r="N87" s="25"/>
      <c r="O87" s="25"/>
      <c r="P87" s="25"/>
      <c r="Q87" s="25"/>
      <c r="R87" s="25"/>
      <c r="S87" s="25"/>
      <c r="T87" s="25"/>
      <c r="U87" s="25"/>
      <c r="V87" s="25"/>
      <c r="W87" s="25"/>
      <c r="X87" s="25"/>
      <c r="Y87" s="25"/>
      <c r="Z87" s="25"/>
      <c r="AA87" s="25"/>
      <c r="AB87" s="25"/>
      <c r="AC87" s="25"/>
      <c r="AD87" s="25"/>
      <c r="AE87" s="25"/>
      <c r="AF87" s="25"/>
      <c r="AG87" s="25"/>
    </row>
    <row r="88" spans="1:33" ht="14.5">
      <c r="A88" s="74">
        <f ca="1">IFERROR(IF(Loan_Not_Paid*Values_Entered,Payment_Number,""), "")</f>
        <v>75</v>
      </c>
      <c r="B88" s="75">
        <f ca="1">IFERROR(IF(Loan_Not_Paid*Values_Entered,Payment_Date,""), "")</f>
        <v>48039</v>
      </c>
      <c r="C88" s="76">
        <f ca="1">IFERROR(IF(Loan_Not_Paid*Values_Entered,Beginning_Balance,""), "")</f>
        <v>13893.051501323513</v>
      </c>
      <c r="D88" s="76">
        <f ca="1">IFERROR(IF(Loan_Not_Paid*Values_Entered,Monthly_Payment,""), "")</f>
        <v>466.67608947837732</v>
      </c>
      <c r="E88" s="76">
        <f ca="1">IFERROR(IF(Loan_Not_Paid*Values_Entered,Principal,""), "")</f>
        <v>185.92067372246404</v>
      </c>
      <c r="F88" s="76">
        <f ca="1">IFERROR(IF(Loan_Not_Paid*Values_Entered,Interest,""), "")</f>
        <v>280.75541575591319</v>
      </c>
      <c r="G88" s="76">
        <f ca="1">IFERROR(IF(Loan_Not_Paid*Values_Entered,Ending_Balance,""), "")</f>
        <v>13707.130827601053</v>
      </c>
      <c r="I88" s="25"/>
      <c r="J88" s="25"/>
      <c r="K88" s="25"/>
      <c r="L88" s="25"/>
      <c r="M88" s="25"/>
      <c r="N88" s="25"/>
      <c r="O88" s="25"/>
      <c r="P88" s="25"/>
      <c r="Q88" s="25"/>
      <c r="R88" s="25"/>
      <c r="S88" s="25"/>
      <c r="T88" s="25"/>
      <c r="U88" s="25"/>
      <c r="V88" s="25"/>
      <c r="W88" s="25"/>
      <c r="X88" s="25"/>
      <c r="Y88" s="25"/>
      <c r="Z88" s="25"/>
      <c r="AA88" s="25"/>
      <c r="AB88" s="25"/>
      <c r="AC88" s="25"/>
      <c r="AD88" s="25"/>
      <c r="AE88" s="25"/>
      <c r="AF88" s="25"/>
      <c r="AG88" s="25"/>
    </row>
    <row r="89" spans="1:33" ht="14.5">
      <c r="A89" s="74">
        <f ca="1">IFERROR(IF(Loan_Not_Paid*Values_Entered,Payment_Number,""), "")</f>
        <v>76</v>
      </c>
      <c r="B89" s="75">
        <f ca="1">IFERROR(IF(Loan_Not_Paid*Values_Entered,Payment_Date,""), "")</f>
        <v>48070</v>
      </c>
      <c r="C89" s="76">
        <f ca="1">IFERROR(IF(Loan_Not_Paid*Values_Entered,Beginning_Balance,""), "")</f>
        <v>13707.130827601053</v>
      </c>
      <c r="D89" s="76">
        <f ca="1">IFERROR(IF(Loan_Not_Paid*Values_Entered,Monthly_Payment,""), "")</f>
        <v>466.67608947837732</v>
      </c>
      <c r="E89" s="76">
        <f ca="1">IFERROR(IF(Loan_Not_Paid*Values_Entered,Principal,""), "")</f>
        <v>189.67782067060554</v>
      </c>
      <c r="F89" s="76">
        <f ca="1">IFERROR(IF(Loan_Not_Paid*Values_Entered,Interest,""), "")</f>
        <v>276.99826880777175</v>
      </c>
      <c r="G89" s="76">
        <f ca="1">IFERROR(IF(Loan_Not_Paid*Values_Entered,Ending_Balance,""), "")</f>
        <v>13517.453006930431</v>
      </c>
      <c r="I89" s="25"/>
      <c r="J89" s="25"/>
      <c r="K89" s="25"/>
      <c r="L89" s="25"/>
      <c r="M89" s="25"/>
      <c r="N89" s="25"/>
      <c r="O89" s="25"/>
      <c r="P89" s="25"/>
      <c r="Q89" s="25"/>
      <c r="R89" s="25"/>
      <c r="S89" s="25"/>
      <c r="T89" s="25"/>
      <c r="U89" s="25"/>
      <c r="V89" s="25"/>
      <c r="W89" s="25"/>
      <c r="X89" s="25"/>
      <c r="Y89" s="25"/>
      <c r="Z89" s="25"/>
      <c r="AA89" s="25"/>
      <c r="AB89" s="25"/>
      <c r="AC89" s="25"/>
      <c r="AD89" s="25"/>
      <c r="AE89" s="25"/>
      <c r="AF89" s="25"/>
      <c r="AG89" s="25"/>
    </row>
    <row r="90" spans="1:33" ht="14.5">
      <c r="A90" s="74">
        <f ca="1">IFERROR(IF(Loan_Not_Paid*Values_Entered,Payment_Number,""), "")</f>
        <v>77</v>
      </c>
      <c r="B90" s="75">
        <f ca="1">IFERROR(IF(Loan_Not_Paid*Values_Entered,Payment_Date,""), "")</f>
        <v>48101</v>
      </c>
      <c r="C90" s="76">
        <f ca="1">IFERROR(IF(Loan_Not_Paid*Values_Entered,Beginning_Balance,""), "")</f>
        <v>13517.453006930431</v>
      </c>
      <c r="D90" s="76">
        <f ca="1">IFERROR(IF(Loan_Not_Paid*Values_Entered,Monthly_Payment,""), "")</f>
        <v>466.67608947837732</v>
      </c>
      <c r="E90" s="76">
        <f ca="1">IFERROR(IF(Loan_Not_Paid*Values_Entered,Principal,""), "")</f>
        <v>193.51089329665737</v>
      </c>
      <c r="F90" s="76">
        <f ca="1">IFERROR(IF(Loan_Not_Paid*Values_Entered,Interest,""), "")</f>
        <v>273.16519618171992</v>
      </c>
      <c r="G90" s="76">
        <f ca="1">IFERROR(IF(Loan_Not_Paid*Values_Entered,Ending_Balance,""), "")</f>
        <v>13323.942113633777</v>
      </c>
      <c r="I90" s="25"/>
      <c r="J90" s="25"/>
      <c r="K90" s="25"/>
      <c r="L90" s="25"/>
      <c r="M90" s="25"/>
      <c r="N90" s="25"/>
      <c r="O90" s="25"/>
      <c r="P90" s="25"/>
      <c r="Q90" s="25"/>
      <c r="R90" s="25"/>
      <c r="S90" s="25"/>
      <c r="T90" s="25"/>
      <c r="U90" s="25"/>
      <c r="V90" s="25"/>
      <c r="W90" s="25"/>
      <c r="X90" s="25"/>
      <c r="Y90" s="25"/>
      <c r="Z90" s="25"/>
      <c r="AA90" s="25"/>
      <c r="AB90" s="25"/>
      <c r="AC90" s="25"/>
      <c r="AD90" s="25"/>
      <c r="AE90" s="25"/>
      <c r="AF90" s="25"/>
      <c r="AG90" s="25"/>
    </row>
    <row r="91" spans="1:33" ht="14.5">
      <c r="A91" s="74">
        <f ca="1">IFERROR(IF(Loan_Not_Paid*Values_Entered,Payment_Number,""), "")</f>
        <v>78</v>
      </c>
      <c r="B91" s="75">
        <f ca="1">IFERROR(IF(Loan_Not_Paid*Values_Entered,Payment_Date,""), "")</f>
        <v>48131</v>
      </c>
      <c r="C91" s="76">
        <f ca="1">IFERROR(IF(Loan_Not_Paid*Values_Entered,Beginning_Balance,""), "")</f>
        <v>13323.942113633777</v>
      </c>
      <c r="D91" s="76">
        <f ca="1">IFERROR(IF(Loan_Not_Paid*Values_Entered,Monthly_Payment,""), "")</f>
        <v>466.67608947837732</v>
      </c>
      <c r="E91" s="76">
        <f ca="1">IFERROR(IF(Loan_Not_Paid*Values_Entered,Principal,""), "")</f>
        <v>197.42142593202729</v>
      </c>
      <c r="F91" s="76">
        <f ca="1">IFERROR(IF(Loan_Not_Paid*Values_Entered,Interest,""), "")</f>
        <v>269.25466354635</v>
      </c>
      <c r="G91" s="76">
        <f ca="1">IFERROR(IF(Loan_Not_Paid*Values_Entered,Ending_Balance,""), "")</f>
        <v>13126.520687701748</v>
      </c>
      <c r="I91" s="25"/>
      <c r="J91" s="25"/>
      <c r="K91" s="25"/>
      <c r="L91" s="25"/>
      <c r="M91" s="25"/>
      <c r="N91" s="25"/>
      <c r="O91" s="25"/>
      <c r="P91" s="25"/>
      <c r="Q91" s="25"/>
      <c r="R91" s="25"/>
      <c r="S91" s="25"/>
      <c r="T91" s="25"/>
      <c r="U91" s="25"/>
      <c r="V91" s="25"/>
      <c r="W91" s="25"/>
      <c r="X91" s="25"/>
      <c r="Y91" s="25"/>
      <c r="Z91" s="25"/>
      <c r="AA91" s="25"/>
      <c r="AB91" s="25"/>
      <c r="AC91" s="25"/>
      <c r="AD91" s="25"/>
      <c r="AE91" s="25"/>
      <c r="AF91" s="25"/>
      <c r="AG91" s="25"/>
    </row>
    <row r="92" spans="1:33" ht="14.5">
      <c r="A92" s="74">
        <f ca="1">IFERROR(IF(Loan_Not_Paid*Values_Entered,Payment_Number,""), "")</f>
        <v>79</v>
      </c>
      <c r="B92" s="75">
        <f ca="1">IFERROR(IF(Loan_Not_Paid*Values_Entered,Payment_Date,""), "")</f>
        <v>48162</v>
      </c>
      <c r="C92" s="76">
        <f ca="1">IFERROR(IF(Loan_Not_Paid*Values_Entered,Beginning_Balance,""), "")</f>
        <v>13126.520687701748</v>
      </c>
      <c r="D92" s="76">
        <f ca="1">IFERROR(IF(Loan_Not_Paid*Values_Entered,Monthly_Payment,""), "")</f>
        <v>466.67608947837732</v>
      </c>
      <c r="E92" s="76">
        <f ca="1">IFERROR(IF(Loan_Not_Paid*Values_Entered,Principal,""), "")</f>
        <v>201.41098391440369</v>
      </c>
      <c r="F92" s="76">
        <f ca="1">IFERROR(IF(Loan_Not_Paid*Values_Entered,Interest,""), "")</f>
        <v>265.26510556397363</v>
      </c>
      <c r="G92" s="76">
        <f ca="1">IFERROR(IF(Loan_Not_Paid*Values_Entered,Ending_Balance,""), "")</f>
        <v>12925.109703787341</v>
      </c>
      <c r="I92" s="25"/>
      <c r="J92" s="25"/>
      <c r="K92" s="25"/>
      <c r="L92" s="25"/>
      <c r="M92" s="25"/>
      <c r="N92" s="25"/>
      <c r="O92" s="25"/>
      <c r="P92" s="25"/>
      <c r="Q92" s="25"/>
      <c r="R92" s="25"/>
      <c r="S92" s="25"/>
      <c r="T92" s="25"/>
      <c r="U92" s="25"/>
      <c r="V92" s="25"/>
      <c r="W92" s="25"/>
      <c r="X92" s="25"/>
      <c r="Y92" s="25"/>
      <c r="Z92" s="25"/>
      <c r="AA92" s="25"/>
      <c r="AB92" s="25"/>
      <c r="AC92" s="25"/>
      <c r="AD92" s="25"/>
      <c r="AE92" s="25"/>
      <c r="AF92" s="25"/>
      <c r="AG92" s="25"/>
    </row>
    <row r="93" spans="1:33" ht="14.5">
      <c r="A93" s="74">
        <f ca="1">IFERROR(IF(Loan_Not_Paid*Values_Entered,Payment_Number,""), "")</f>
        <v>80</v>
      </c>
      <c r="B93" s="75">
        <f ca="1">IFERROR(IF(Loan_Not_Paid*Values_Entered,Payment_Date,""), "")</f>
        <v>48192</v>
      </c>
      <c r="C93" s="76">
        <f ca="1">IFERROR(IF(Loan_Not_Paid*Values_Entered,Beginning_Balance,""), "")</f>
        <v>12925.109703787341</v>
      </c>
      <c r="D93" s="76">
        <f ca="1">IFERROR(IF(Loan_Not_Paid*Values_Entered,Monthly_Payment,""), "")</f>
        <v>466.67608947837732</v>
      </c>
      <c r="E93" s="76">
        <f ca="1">IFERROR(IF(Loan_Not_Paid*Values_Entered,Principal,""), "")</f>
        <v>205.48116421434057</v>
      </c>
      <c r="F93" s="76">
        <f ca="1">IFERROR(IF(Loan_Not_Paid*Values_Entered,Interest,""), "")</f>
        <v>261.19492526403673</v>
      </c>
      <c r="G93" s="76">
        <f ca="1">IFERROR(IF(Loan_Not_Paid*Values_Entered,Ending_Balance,""), "")</f>
        <v>12719.628539572994</v>
      </c>
      <c r="I93" s="25"/>
      <c r="J93" s="25"/>
      <c r="K93" s="25"/>
      <c r="L93" s="25"/>
      <c r="M93" s="25"/>
      <c r="N93" s="25"/>
      <c r="O93" s="25"/>
      <c r="P93" s="25"/>
      <c r="Q93" s="25"/>
      <c r="R93" s="25"/>
      <c r="S93" s="25"/>
      <c r="T93" s="25"/>
      <c r="U93" s="25"/>
      <c r="V93" s="25"/>
      <c r="W93" s="25"/>
      <c r="X93" s="25"/>
      <c r="Y93" s="25"/>
      <c r="Z93" s="25"/>
      <c r="AA93" s="25"/>
      <c r="AB93" s="25"/>
      <c r="AC93" s="25"/>
      <c r="AD93" s="25"/>
      <c r="AE93" s="25"/>
      <c r="AF93" s="25"/>
      <c r="AG93" s="25"/>
    </row>
    <row r="94" spans="1:33" ht="14.5">
      <c r="A94" s="74">
        <f ca="1">IFERROR(IF(Loan_Not_Paid*Values_Entered,Payment_Number,""), "")</f>
        <v>81</v>
      </c>
      <c r="B94" s="75">
        <f ca="1">IFERROR(IF(Loan_Not_Paid*Values_Entered,Payment_Date,""), "")</f>
        <v>48223</v>
      </c>
      <c r="C94" s="76">
        <f ca="1">IFERROR(IF(Loan_Not_Paid*Values_Entered,Beginning_Balance,""), "")</f>
        <v>12719.628539572994</v>
      </c>
      <c r="D94" s="76">
        <f ca="1">IFERROR(IF(Loan_Not_Paid*Values_Entered,Monthly_Payment,""), "")</f>
        <v>466.67608947837732</v>
      </c>
      <c r="E94" s="76">
        <f ca="1">IFERROR(IF(Loan_Not_Paid*Values_Entered,Principal,""), "")</f>
        <v>209.63359607450539</v>
      </c>
      <c r="F94" s="76">
        <f ca="1">IFERROR(IF(Loan_Not_Paid*Values_Entered,Interest,""), "")</f>
        <v>257.0424934038719</v>
      </c>
      <c r="G94" s="76">
        <f ca="1">IFERROR(IF(Loan_Not_Paid*Values_Entered,Ending_Balance,""), "")</f>
        <v>12509.994943498503</v>
      </c>
      <c r="I94" s="25"/>
      <c r="J94" s="25"/>
      <c r="K94" s="25"/>
      <c r="L94" s="25"/>
      <c r="M94" s="25"/>
      <c r="N94" s="25"/>
      <c r="O94" s="25"/>
      <c r="P94" s="25"/>
      <c r="Q94" s="25"/>
      <c r="R94" s="25"/>
      <c r="S94" s="25"/>
      <c r="T94" s="25"/>
      <c r="U94" s="25"/>
      <c r="V94" s="25"/>
      <c r="W94" s="25"/>
      <c r="X94" s="25"/>
      <c r="Y94" s="25"/>
      <c r="Z94" s="25"/>
      <c r="AA94" s="25"/>
      <c r="AB94" s="25"/>
      <c r="AC94" s="25"/>
      <c r="AD94" s="25"/>
      <c r="AE94" s="25"/>
      <c r="AF94" s="25"/>
      <c r="AG94" s="25"/>
    </row>
    <row r="95" spans="1:33" ht="14.5">
      <c r="A95" s="74">
        <f ca="1">IFERROR(IF(Loan_Not_Paid*Values_Entered,Payment_Number,""), "")</f>
        <v>82</v>
      </c>
      <c r="B95" s="75">
        <f ca="1">IFERROR(IF(Loan_Not_Paid*Values_Entered,Payment_Date,""), "")</f>
        <v>48254</v>
      </c>
      <c r="C95" s="76">
        <f ca="1">IFERROR(IF(Loan_Not_Paid*Values_Entered,Beginning_Balance,""), "")</f>
        <v>12509.994943498503</v>
      </c>
      <c r="D95" s="76">
        <f ca="1">IFERROR(IF(Loan_Not_Paid*Values_Entered,Monthly_Payment,""), "")</f>
        <v>466.67608947837732</v>
      </c>
      <c r="E95" s="76">
        <f ca="1">IFERROR(IF(Loan_Not_Paid*Values_Entered,Principal,""), "")</f>
        <v>213.86994166184434</v>
      </c>
      <c r="F95" s="76">
        <f ca="1">IFERROR(IF(Loan_Not_Paid*Values_Entered,Interest,""), "")</f>
        <v>252.80614781653296</v>
      </c>
      <c r="G95" s="76">
        <f ca="1">IFERROR(IF(Loan_Not_Paid*Values_Entered,Ending_Balance,""), "")</f>
        <v>12296.125001836655</v>
      </c>
      <c r="I95" s="25"/>
      <c r="J95" s="25"/>
      <c r="K95" s="25"/>
      <c r="L95" s="25"/>
      <c r="M95" s="25"/>
      <c r="N95" s="25"/>
      <c r="O95" s="25"/>
      <c r="P95" s="25"/>
      <c r="Q95" s="25"/>
      <c r="R95" s="25"/>
      <c r="S95" s="25"/>
      <c r="T95" s="25"/>
      <c r="U95" s="25"/>
      <c r="V95" s="25"/>
      <c r="W95" s="25"/>
      <c r="X95" s="25"/>
      <c r="Y95" s="25"/>
      <c r="Z95" s="25"/>
      <c r="AA95" s="25"/>
      <c r="AB95" s="25"/>
      <c r="AC95" s="25"/>
      <c r="AD95" s="25"/>
      <c r="AE95" s="25"/>
      <c r="AF95" s="25"/>
      <c r="AG95" s="25"/>
    </row>
    <row r="96" spans="1:33" ht="14.5">
      <c r="A96" s="74">
        <f ca="1">IFERROR(IF(Loan_Not_Paid*Values_Entered,Payment_Number,""), "")</f>
        <v>83</v>
      </c>
      <c r="B96" s="75">
        <f ca="1">IFERROR(IF(Loan_Not_Paid*Values_Entered,Payment_Date,""), "")</f>
        <v>48283</v>
      </c>
      <c r="C96" s="76">
        <f ca="1">IFERROR(IF(Loan_Not_Paid*Values_Entered,Beginning_Balance,""), "")</f>
        <v>12296.125001836655</v>
      </c>
      <c r="D96" s="76">
        <f ca="1">IFERROR(IF(Loan_Not_Paid*Values_Entered,Monthly_Payment,""), "")</f>
        <v>466.67608947837732</v>
      </c>
      <c r="E96" s="76">
        <f ca="1">IFERROR(IF(Loan_Not_Paid*Values_Entered,Principal,""), "")</f>
        <v>218.19189673292743</v>
      </c>
      <c r="F96" s="76">
        <f ca="1">IFERROR(IF(Loan_Not_Paid*Values_Entered,Interest,""), "")</f>
        <v>248.48419274544983</v>
      </c>
      <c r="G96" s="76">
        <f ca="1">IFERROR(IF(Loan_Not_Paid*Values_Entered,Ending_Balance,""), "")</f>
        <v>12077.93310510373</v>
      </c>
      <c r="I96" s="25"/>
      <c r="J96" s="25"/>
      <c r="K96" s="25"/>
      <c r="L96" s="25"/>
      <c r="M96" s="25"/>
      <c r="N96" s="25"/>
      <c r="O96" s="25"/>
      <c r="P96" s="25"/>
      <c r="Q96" s="25"/>
      <c r="R96" s="25"/>
      <c r="S96" s="25"/>
      <c r="T96" s="25"/>
      <c r="U96" s="25"/>
      <c r="V96" s="25"/>
      <c r="W96" s="25"/>
      <c r="X96" s="25"/>
      <c r="Y96" s="25"/>
      <c r="Z96" s="25"/>
      <c r="AA96" s="25"/>
      <c r="AB96" s="25"/>
      <c r="AC96" s="25"/>
      <c r="AD96" s="25"/>
      <c r="AE96" s="25"/>
      <c r="AF96" s="25"/>
      <c r="AG96" s="25"/>
    </row>
    <row r="97" spans="1:33" ht="14.5">
      <c r="A97" s="74">
        <f ca="1">IFERROR(IF(Loan_Not_Paid*Values_Entered,Payment_Number,""), "")</f>
        <v>84</v>
      </c>
      <c r="B97" s="75">
        <f ca="1">IFERROR(IF(Loan_Not_Paid*Values_Entered,Payment_Date,""), "")</f>
        <v>48314</v>
      </c>
      <c r="C97" s="76">
        <f ca="1">IFERROR(IF(Loan_Not_Paid*Values_Entered,Beginning_Balance,""), "")</f>
        <v>12077.93310510373</v>
      </c>
      <c r="D97" s="76">
        <f ca="1">IFERROR(IF(Loan_Not_Paid*Values_Entered,Monthly_Payment,""), "")</f>
        <v>466.67608947837732</v>
      </c>
      <c r="E97" s="76">
        <f ca="1">IFERROR(IF(Loan_Not_Paid*Values_Entered,Principal,""), "")</f>
        <v>222.60119131273868</v>
      </c>
      <c r="F97" s="76">
        <f ca="1">IFERROR(IF(Loan_Not_Paid*Values_Entered,Interest,""), "")</f>
        <v>244.07489816563867</v>
      </c>
      <c r="G97" s="76">
        <f ca="1">IFERROR(IF(Loan_Not_Paid*Values_Entered,Ending_Balance,""), "")</f>
        <v>11855.331913790986</v>
      </c>
      <c r="I97" s="25"/>
      <c r="J97" s="25"/>
      <c r="K97" s="25"/>
      <c r="L97" s="25"/>
      <c r="M97" s="25"/>
      <c r="N97" s="25"/>
      <c r="O97" s="25"/>
      <c r="P97" s="25"/>
      <c r="Q97" s="25"/>
      <c r="R97" s="25"/>
      <c r="S97" s="25"/>
      <c r="T97" s="25"/>
      <c r="U97" s="25"/>
      <c r="V97" s="25"/>
      <c r="W97" s="25"/>
      <c r="X97" s="25"/>
      <c r="Y97" s="25"/>
      <c r="Z97" s="25"/>
      <c r="AA97" s="25"/>
      <c r="AB97" s="25"/>
      <c r="AC97" s="25"/>
      <c r="AD97" s="25"/>
      <c r="AE97" s="25"/>
      <c r="AF97" s="25"/>
      <c r="AG97" s="25"/>
    </row>
    <row r="98" spans="1:33" ht="14.5">
      <c r="A98" s="74">
        <f ca="1">IFERROR(IF(Loan_Not_Paid*Values_Entered,Payment_Number,""), "")</f>
        <v>85</v>
      </c>
      <c r="B98" s="75">
        <f ca="1">IFERROR(IF(Loan_Not_Paid*Values_Entered,Payment_Date,""), "")</f>
        <v>48344</v>
      </c>
      <c r="C98" s="76">
        <f ca="1">IFERROR(IF(Loan_Not_Paid*Values_Entered,Beginning_Balance,""), "")</f>
        <v>11855.331913790986</v>
      </c>
      <c r="D98" s="76">
        <f ca="1">IFERROR(IF(Loan_Not_Paid*Values_Entered,Monthly_Payment,""), "")</f>
        <v>466.67608947837732</v>
      </c>
      <c r="E98" s="76">
        <f ca="1">IFERROR(IF(Loan_Not_Paid*Values_Entered,Principal,""), "")</f>
        <v>227.09959038718361</v>
      </c>
      <c r="F98" s="76">
        <f ca="1">IFERROR(IF(Loan_Not_Paid*Values_Entered,Interest,""), "")</f>
        <v>239.57649909119371</v>
      </c>
      <c r="G98" s="76">
        <f ca="1">IFERROR(IF(Loan_Not_Paid*Values_Entered,Ending_Balance,""), "")</f>
        <v>11628.232323403805</v>
      </c>
      <c r="I98" s="25"/>
      <c r="J98" s="25"/>
      <c r="K98" s="25"/>
      <c r="L98" s="25"/>
      <c r="M98" s="25"/>
      <c r="N98" s="25"/>
      <c r="O98" s="25"/>
      <c r="P98" s="25"/>
      <c r="Q98" s="25"/>
      <c r="R98" s="25"/>
      <c r="S98" s="25"/>
      <c r="T98" s="25"/>
      <c r="U98" s="25"/>
      <c r="V98" s="25"/>
      <c r="W98" s="25"/>
      <c r="X98" s="25"/>
      <c r="Y98" s="25"/>
      <c r="Z98" s="25"/>
      <c r="AA98" s="25"/>
      <c r="AB98" s="25"/>
      <c r="AC98" s="25"/>
      <c r="AD98" s="25"/>
      <c r="AE98" s="25"/>
      <c r="AF98" s="25"/>
      <c r="AG98" s="25"/>
    </row>
    <row r="99" spans="1:33" ht="14.5">
      <c r="A99" s="74">
        <f ca="1">IFERROR(IF(Loan_Not_Paid*Values_Entered,Payment_Number,""), "")</f>
        <v>86</v>
      </c>
      <c r="B99" s="75">
        <f ca="1">IFERROR(IF(Loan_Not_Paid*Values_Entered,Payment_Date,""), "")</f>
        <v>48375</v>
      </c>
      <c r="C99" s="76">
        <f ca="1">IFERROR(IF(Loan_Not_Paid*Values_Entered,Beginning_Balance,""), "")</f>
        <v>11628.232323403805</v>
      </c>
      <c r="D99" s="76">
        <f ca="1">IFERROR(IF(Loan_Not_Paid*Values_Entered,Monthly_Payment,""), "")</f>
        <v>466.67608947837732</v>
      </c>
      <c r="E99" s="76">
        <f ca="1">IFERROR(IF(Loan_Not_Paid*Values_Entered,Principal,""), "")</f>
        <v>231.6888946095913</v>
      </c>
      <c r="F99" s="76">
        <f ca="1">IFERROR(IF(Loan_Not_Paid*Values_Entered,Interest,""), "")</f>
        <v>234.98719486878605</v>
      </c>
      <c r="G99" s="76">
        <f ca="1">IFERROR(IF(Loan_Not_Paid*Values_Entered,Ending_Balance,""), "")</f>
        <v>11396.543428794219</v>
      </c>
      <c r="I99" s="25"/>
      <c r="J99" s="25"/>
      <c r="K99" s="25"/>
      <c r="L99" s="25"/>
      <c r="M99" s="25"/>
      <c r="N99" s="25"/>
      <c r="O99" s="25"/>
      <c r="P99" s="25"/>
      <c r="Q99" s="25"/>
      <c r="R99" s="25"/>
      <c r="S99" s="25"/>
      <c r="T99" s="25"/>
      <c r="U99" s="25"/>
      <c r="V99" s="25"/>
      <c r="W99" s="25"/>
      <c r="X99" s="25"/>
      <c r="Y99" s="25"/>
      <c r="Z99" s="25"/>
      <c r="AA99" s="25"/>
      <c r="AB99" s="25"/>
      <c r="AC99" s="25"/>
      <c r="AD99" s="25"/>
      <c r="AE99" s="25"/>
      <c r="AF99" s="25"/>
      <c r="AG99" s="25"/>
    </row>
    <row r="100" spans="1:33" ht="14.5">
      <c r="A100" s="74">
        <f ca="1">IFERROR(IF(Loan_Not_Paid*Values_Entered,Payment_Number,""), "")</f>
        <v>87</v>
      </c>
      <c r="B100" s="75">
        <f ca="1">IFERROR(IF(Loan_Not_Paid*Values_Entered,Payment_Date,""), "")</f>
        <v>48405</v>
      </c>
      <c r="C100" s="76">
        <f ca="1">IFERROR(IF(Loan_Not_Paid*Values_Entered,Beginning_Balance,""), "")</f>
        <v>11396.543428794219</v>
      </c>
      <c r="D100" s="76">
        <f ca="1">IFERROR(IF(Loan_Not_Paid*Values_Entered,Monthly_Payment,""), "")</f>
        <v>466.67608947837732</v>
      </c>
      <c r="E100" s="76">
        <f ca="1">IFERROR(IF(Loan_Not_Paid*Values_Entered,Principal,""), "")</f>
        <v>236.37094102149348</v>
      </c>
      <c r="F100" s="76">
        <f ca="1">IFERROR(IF(Loan_Not_Paid*Values_Entered,Interest,""), "")</f>
        <v>230.3051484568839</v>
      </c>
      <c r="G100" s="76">
        <f ca="1">IFERROR(IF(Loan_Not_Paid*Values_Entered,Ending_Balance,""), "")</f>
        <v>11160.17248777271</v>
      </c>
      <c r="I100" s="25"/>
      <c r="J100" s="25"/>
      <c r="K100" s="25"/>
      <c r="L100" s="25"/>
      <c r="M100" s="25"/>
      <c r="N100" s="25"/>
      <c r="O100" s="25"/>
      <c r="P100" s="25"/>
      <c r="Q100" s="25"/>
      <c r="R100" s="25"/>
      <c r="S100" s="25"/>
      <c r="T100" s="25"/>
      <c r="U100" s="25"/>
      <c r="V100" s="25"/>
      <c r="W100" s="25"/>
      <c r="X100" s="25"/>
      <c r="Y100" s="25"/>
      <c r="Z100" s="25"/>
      <c r="AA100" s="25"/>
      <c r="AB100" s="25"/>
      <c r="AC100" s="25"/>
      <c r="AD100" s="25"/>
      <c r="AE100" s="25"/>
      <c r="AF100" s="25"/>
      <c r="AG100" s="25"/>
    </row>
    <row r="101" spans="1:33" ht="14.5">
      <c r="A101" s="74">
        <f ca="1">IFERROR(IF(Loan_Not_Paid*Values_Entered,Payment_Number,""), "")</f>
        <v>88</v>
      </c>
      <c r="B101" s="75">
        <f ca="1">IFERROR(IF(Loan_Not_Paid*Values_Entered,Payment_Date,""), "")</f>
        <v>48436</v>
      </c>
      <c r="C101" s="76">
        <f ca="1">IFERROR(IF(Loan_Not_Paid*Values_Entered,Beginning_Balance,""), "")</f>
        <v>11160.17248777271</v>
      </c>
      <c r="D101" s="76">
        <f ca="1">IFERROR(IF(Loan_Not_Paid*Values_Entered,Monthly_Payment,""), "")</f>
        <v>466.67608947837732</v>
      </c>
      <c r="E101" s="76">
        <f ca="1">IFERROR(IF(Loan_Not_Paid*Values_Entered,Principal,""), "")</f>
        <v>241.14760378796944</v>
      </c>
      <c r="F101" s="76">
        <f ca="1">IFERROR(IF(Loan_Not_Paid*Values_Entered,Interest,""), "")</f>
        <v>225.5284856904079</v>
      </c>
      <c r="G101" s="76">
        <f ca="1">IFERROR(IF(Loan_Not_Paid*Values_Entered,Ending_Balance,""), "")</f>
        <v>10919.024883984748</v>
      </c>
      <c r="I101" s="25"/>
      <c r="J101" s="25"/>
      <c r="K101" s="25"/>
      <c r="L101" s="25"/>
      <c r="M101" s="25"/>
      <c r="N101" s="25"/>
      <c r="O101" s="25"/>
      <c r="P101" s="25"/>
      <c r="Q101" s="25"/>
      <c r="R101" s="25"/>
      <c r="S101" s="25"/>
      <c r="T101" s="25"/>
      <c r="U101" s="25"/>
      <c r="V101" s="25"/>
      <c r="W101" s="25"/>
      <c r="X101" s="25"/>
      <c r="Y101" s="25"/>
      <c r="Z101" s="25"/>
      <c r="AA101" s="25"/>
      <c r="AB101" s="25"/>
      <c r="AC101" s="25"/>
      <c r="AD101" s="25"/>
      <c r="AE101" s="25"/>
      <c r="AF101" s="25"/>
      <c r="AG101" s="25"/>
    </row>
    <row r="102" spans="1:33" ht="14.5">
      <c r="A102" s="74">
        <f ca="1">IFERROR(IF(Loan_Not_Paid*Values_Entered,Payment_Number,""), "")</f>
        <v>89</v>
      </c>
      <c r="B102" s="75">
        <f ca="1">IFERROR(IF(Loan_Not_Paid*Values_Entered,Payment_Date,""), "")</f>
        <v>48467</v>
      </c>
      <c r="C102" s="76">
        <f ca="1">IFERROR(IF(Loan_Not_Paid*Values_Entered,Beginning_Balance,""), "")</f>
        <v>10919.024883984748</v>
      </c>
      <c r="D102" s="76">
        <f ca="1">IFERROR(IF(Loan_Not_Paid*Values_Entered,Monthly_Payment,""), "")</f>
        <v>466.67608947837732</v>
      </c>
      <c r="E102" s="76">
        <f ca="1">IFERROR(IF(Loan_Not_Paid*Values_Entered,Principal,""), "")</f>
        <v>246.02079494785136</v>
      </c>
      <c r="F102" s="76">
        <f ca="1">IFERROR(IF(Loan_Not_Paid*Values_Entered,Interest,""), "")</f>
        <v>220.65529453052599</v>
      </c>
      <c r="G102" s="76">
        <f ca="1">IFERROR(IF(Loan_Not_Paid*Values_Entered,Ending_Balance,""), "")</f>
        <v>10673.004089036884</v>
      </c>
      <c r="I102" s="25"/>
      <c r="J102" s="25"/>
      <c r="K102" s="25"/>
      <c r="L102" s="25"/>
      <c r="M102" s="25"/>
      <c r="N102" s="25"/>
      <c r="O102" s="25"/>
      <c r="P102" s="25"/>
      <c r="Q102" s="25"/>
      <c r="R102" s="25"/>
      <c r="S102" s="25"/>
      <c r="T102" s="25"/>
      <c r="U102" s="25"/>
      <c r="V102" s="25"/>
      <c r="W102" s="25"/>
      <c r="X102" s="25"/>
      <c r="Y102" s="25"/>
      <c r="Z102" s="25"/>
      <c r="AA102" s="25"/>
      <c r="AB102" s="25"/>
      <c r="AC102" s="25"/>
      <c r="AD102" s="25"/>
      <c r="AE102" s="25"/>
      <c r="AF102" s="25"/>
      <c r="AG102" s="25"/>
    </row>
    <row r="103" spans="1:33" ht="14.5">
      <c r="A103" s="74">
        <f ca="1">IFERROR(IF(Loan_Not_Paid*Values_Entered,Payment_Number,""), "")</f>
        <v>90</v>
      </c>
      <c r="B103" s="75">
        <f ca="1">IFERROR(IF(Loan_Not_Paid*Values_Entered,Payment_Date,""), "")</f>
        <v>48497</v>
      </c>
      <c r="C103" s="76">
        <f ca="1">IFERROR(IF(Loan_Not_Paid*Values_Entered,Beginning_Balance,""), "")</f>
        <v>10673.004089036884</v>
      </c>
      <c r="D103" s="76">
        <f ca="1">IFERROR(IF(Loan_Not_Paid*Values_Entered,Monthly_Payment,""), "")</f>
        <v>466.67608947837732</v>
      </c>
      <c r="E103" s="76">
        <f ca="1">IFERROR(IF(Loan_Not_Paid*Values_Entered,Principal,""), "")</f>
        <v>250.99246517908921</v>
      </c>
      <c r="F103" s="76">
        <f ca="1">IFERROR(IF(Loan_Not_Paid*Values_Entered,Interest,""), "")</f>
        <v>215.68362429928814</v>
      </c>
      <c r="G103" s="76">
        <f ca="1">IFERROR(IF(Loan_Not_Paid*Values_Entered,Ending_Balance,""), "")</f>
        <v>10422.01162385779</v>
      </c>
      <c r="I103" s="25"/>
      <c r="J103" s="25"/>
      <c r="K103" s="25"/>
      <c r="L103" s="25"/>
      <c r="M103" s="25"/>
      <c r="N103" s="25"/>
      <c r="O103" s="25"/>
      <c r="P103" s="25"/>
      <c r="Q103" s="25"/>
      <c r="R103" s="25"/>
      <c r="S103" s="25"/>
      <c r="T103" s="25"/>
      <c r="U103" s="25"/>
      <c r="V103" s="25"/>
      <c r="W103" s="25"/>
      <c r="X103" s="25"/>
      <c r="Y103" s="25"/>
      <c r="Z103" s="25"/>
      <c r="AA103" s="25"/>
      <c r="AB103" s="25"/>
      <c r="AC103" s="25"/>
      <c r="AD103" s="25"/>
      <c r="AE103" s="25"/>
      <c r="AF103" s="25"/>
      <c r="AG103" s="25"/>
    </row>
    <row r="104" spans="1:33" ht="14.5">
      <c r="A104" s="74">
        <f ca="1">IFERROR(IF(Loan_Not_Paid*Values_Entered,Payment_Number,""), "")</f>
        <v>91</v>
      </c>
      <c r="B104" s="75">
        <f ca="1">IFERROR(IF(Loan_Not_Paid*Values_Entered,Payment_Date,""), "")</f>
        <v>48528</v>
      </c>
      <c r="C104" s="76">
        <f ca="1">IFERROR(IF(Loan_Not_Paid*Values_Entered,Beginning_Balance,""), "")</f>
        <v>10422.01162385779</v>
      </c>
      <c r="D104" s="76">
        <f ca="1">IFERROR(IF(Loan_Not_Paid*Values_Entered,Monthly_Payment,""), "")</f>
        <v>466.67608947837732</v>
      </c>
      <c r="E104" s="76">
        <f ca="1">IFERROR(IF(Loan_Not_Paid*Values_Entered,Principal,""), "")</f>
        <v>256.06460457958326</v>
      </c>
      <c r="F104" s="76">
        <f ca="1">IFERROR(IF(Loan_Not_Paid*Values_Entered,Interest,""), "")</f>
        <v>210.61148489879403</v>
      </c>
      <c r="G104" s="76">
        <f ca="1">IFERROR(IF(Loan_Not_Paid*Values_Entered,Ending_Balance,""), "")</f>
        <v>10165.947019278217</v>
      </c>
      <c r="I104" s="25"/>
      <c r="J104" s="25"/>
      <c r="K104" s="25"/>
      <c r="L104" s="25"/>
      <c r="M104" s="25"/>
      <c r="N104" s="25"/>
      <c r="O104" s="25"/>
      <c r="P104" s="25"/>
      <c r="Q104" s="25"/>
      <c r="R104" s="25"/>
      <c r="S104" s="25"/>
      <c r="T104" s="25"/>
      <c r="U104" s="25"/>
      <c r="V104" s="25"/>
      <c r="W104" s="25"/>
      <c r="X104" s="25"/>
      <c r="Y104" s="25"/>
      <c r="Z104" s="25"/>
      <c r="AA104" s="25"/>
      <c r="AB104" s="25"/>
      <c r="AC104" s="25"/>
      <c r="AD104" s="25"/>
      <c r="AE104" s="25"/>
      <c r="AF104" s="25"/>
      <c r="AG104" s="25"/>
    </row>
    <row r="105" spans="1:33" ht="14.5">
      <c r="A105" s="74">
        <f ca="1">IFERROR(IF(Loan_Not_Paid*Values_Entered,Payment_Number,""), "")</f>
        <v>92</v>
      </c>
      <c r="B105" s="75">
        <f ca="1">IFERROR(IF(Loan_Not_Paid*Values_Entered,Payment_Date,""), "")</f>
        <v>48558</v>
      </c>
      <c r="C105" s="76">
        <f ca="1">IFERROR(IF(Loan_Not_Paid*Values_Entered,Beginning_Balance,""), "")</f>
        <v>10165.947019278217</v>
      </c>
      <c r="D105" s="76">
        <f ca="1">IFERROR(IF(Loan_Not_Paid*Values_Entered,Monthly_Payment,""), "")</f>
        <v>466.67608947837732</v>
      </c>
      <c r="E105" s="76">
        <f ca="1">IFERROR(IF(Loan_Not_Paid*Values_Entered,Principal,""), "")</f>
        <v>261.23924346379567</v>
      </c>
      <c r="F105" s="76">
        <f ca="1">IFERROR(IF(Loan_Not_Paid*Values_Entered,Interest,""), "")</f>
        <v>205.43684601458162</v>
      </c>
      <c r="G105" s="76">
        <f ca="1">IFERROR(IF(Loan_Not_Paid*Values_Entered,Ending_Balance,""), "")</f>
        <v>9904.7077758144005</v>
      </c>
      <c r="I105" s="25"/>
      <c r="J105" s="25"/>
      <c r="K105" s="25"/>
      <c r="L105" s="25"/>
      <c r="M105" s="25"/>
      <c r="N105" s="25"/>
      <c r="O105" s="25"/>
      <c r="P105" s="25"/>
      <c r="Q105" s="25"/>
      <c r="R105" s="25"/>
      <c r="S105" s="25"/>
      <c r="T105" s="25"/>
      <c r="U105" s="25"/>
      <c r="V105" s="25"/>
      <c r="W105" s="25"/>
      <c r="X105" s="25"/>
      <c r="Y105" s="25"/>
      <c r="Z105" s="25"/>
      <c r="AA105" s="25"/>
      <c r="AB105" s="25"/>
      <c r="AC105" s="25"/>
      <c r="AD105" s="25"/>
      <c r="AE105" s="25"/>
      <c r="AF105" s="25"/>
      <c r="AG105" s="25"/>
    </row>
    <row r="106" spans="1:33" ht="14.5">
      <c r="A106" s="74">
        <f ca="1">IFERROR(IF(Loan_Not_Paid*Values_Entered,Payment_Number,""), "")</f>
        <v>93</v>
      </c>
      <c r="B106" s="75">
        <f ca="1">IFERROR(IF(Loan_Not_Paid*Values_Entered,Payment_Date,""), "")</f>
        <v>48589</v>
      </c>
      <c r="C106" s="76">
        <f ca="1">IFERROR(IF(Loan_Not_Paid*Values_Entered,Beginning_Balance,""), "")</f>
        <v>9904.7077758144005</v>
      </c>
      <c r="D106" s="76">
        <f ca="1">IFERROR(IF(Loan_Not_Paid*Values_Entered,Monthly_Payment,""), "")</f>
        <v>466.67608947837732</v>
      </c>
      <c r="E106" s="76">
        <f ca="1">IFERROR(IF(Loan_Not_Paid*Values_Entered,Principal,""), "")</f>
        <v>266.51845317545985</v>
      </c>
      <c r="F106" s="76">
        <f ca="1">IFERROR(IF(Loan_Not_Paid*Values_Entered,Interest,""), "")</f>
        <v>200.15763630291738</v>
      </c>
      <c r="G106" s="76">
        <f ca="1">IFERROR(IF(Loan_Not_Paid*Values_Entered,Ending_Balance,""), "")</f>
        <v>9638.1893226389657</v>
      </c>
      <c r="I106" s="25"/>
      <c r="J106" s="25"/>
      <c r="K106" s="25"/>
      <c r="L106" s="25"/>
      <c r="M106" s="25"/>
      <c r="N106" s="25"/>
      <c r="O106" s="25"/>
      <c r="P106" s="25"/>
      <c r="Q106" s="25"/>
      <c r="R106" s="25"/>
      <c r="S106" s="25"/>
      <c r="T106" s="25"/>
      <c r="U106" s="25"/>
      <c r="V106" s="25"/>
      <c r="W106" s="25"/>
      <c r="X106" s="25"/>
      <c r="Y106" s="25"/>
      <c r="Z106" s="25"/>
      <c r="AA106" s="25"/>
      <c r="AB106" s="25"/>
      <c r="AC106" s="25"/>
      <c r="AD106" s="25"/>
      <c r="AE106" s="25"/>
      <c r="AF106" s="25"/>
      <c r="AG106" s="25"/>
    </row>
    <row r="107" spans="1:33" ht="14.5">
      <c r="A107" s="74">
        <f ca="1">IFERROR(IF(Loan_Not_Paid*Values_Entered,Payment_Number,""), "")</f>
        <v>94</v>
      </c>
      <c r="B107" s="75">
        <f ca="1">IFERROR(IF(Loan_Not_Paid*Values_Entered,Payment_Date,""), "")</f>
        <v>48620</v>
      </c>
      <c r="C107" s="76">
        <f ca="1">IFERROR(IF(Loan_Not_Paid*Values_Entered,Beginning_Balance,""), "")</f>
        <v>9638.1893226389657</v>
      </c>
      <c r="D107" s="76">
        <f ca="1">IFERROR(IF(Loan_Not_Paid*Values_Entered,Monthly_Payment,""), "")</f>
        <v>466.67608947837732</v>
      </c>
      <c r="E107" s="76">
        <f ca="1">IFERROR(IF(Loan_Not_Paid*Values_Entered,Principal,""), "")</f>
        <v>271.90434691671396</v>
      </c>
      <c r="F107" s="76">
        <f ca="1">IFERROR(IF(Loan_Not_Paid*Values_Entered,Interest,""), "")</f>
        <v>194.7717425616633</v>
      </c>
      <c r="G107" s="76">
        <f ca="1">IFERROR(IF(Loan_Not_Paid*Values_Entered,Ending_Balance,""), "")</f>
        <v>9366.284975722243</v>
      </c>
      <c r="I107" s="25"/>
      <c r="J107" s="25"/>
      <c r="K107" s="25"/>
      <c r="L107" s="25"/>
      <c r="M107" s="25"/>
      <c r="N107" s="25"/>
      <c r="O107" s="25"/>
      <c r="P107" s="25"/>
      <c r="Q107" s="25"/>
      <c r="R107" s="25"/>
      <c r="S107" s="25"/>
      <c r="T107" s="25"/>
      <c r="U107" s="25"/>
      <c r="V107" s="25"/>
      <c r="W107" s="25"/>
      <c r="X107" s="25"/>
      <c r="Y107" s="25"/>
      <c r="Z107" s="25"/>
      <c r="AA107" s="25"/>
      <c r="AB107" s="25"/>
      <c r="AC107" s="25"/>
      <c r="AD107" s="25"/>
      <c r="AE107" s="25"/>
      <c r="AF107" s="25"/>
      <c r="AG107" s="25"/>
    </row>
    <row r="108" spans="1:33" ht="14.5">
      <c r="A108" s="74">
        <f ca="1">IFERROR(IF(Loan_Not_Paid*Values_Entered,Payment_Number,""), "")</f>
        <v>95</v>
      </c>
      <c r="B108" s="75">
        <f ca="1">IFERROR(IF(Loan_Not_Paid*Values_Entered,Payment_Date,""), "")</f>
        <v>48648</v>
      </c>
      <c r="C108" s="76">
        <f ca="1">IFERROR(IF(Loan_Not_Paid*Values_Entered,Beginning_Balance,""), "")</f>
        <v>9366.284975722243</v>
      </c>
      <c r="D108" s="76">
        <f ca="1">IFERROR(IF(Loan_Not_Paid*Values_Entered,Monthly_Payment,""), "")</f>
        <v>466.67608947837732</v>
      </c>
      <c r="E108" s="76">
        <f ca="1">IFERROR(IF(Loan_Not_Paid*Values_Entered,Principal,""), "")</f>
        <v>277.39908059398925</v>
      </c>
      <c r="F108" s="76">
        <f ca="1">IFERROR(IF(Loan_Not_Paid*Values_Entered,Interest,""), "")</f>
        <v>189.27700888438807</v>
      </c>
      <c r="G108" s="76">
        <f ca="1">IFERROR(IF(Loan_Not_Paid*Values_Entered,Ending_Balance,""), "")</f>
        <v>9088.8858951282455</v>
      </c>
      <c r="I108" s="25"/>
      <c r="J108" s="25"/>
      <c r="K108" s="25"/>
      <c r="L108" s="25"/>
      <c r="M108" s="25"/>
      <c r="N108" s="25"/>
      <c r="O108" s="25"/>
      <c r="P108" s="25"/>
      <c r="Q108" s="25"/>
      <c r="R108" s="25"/>
      <c r="S108" s="25"/>
      <c r="T108" s="25"/>
      <c r="U108" s="25"/>
      <c r="V108" s="25"/>
      <c r="W108" s="25"/>
      <c r="X108" s="25"/>
      <c r="Y108" s="25"/>
      <c r="Z108" s="25"/>
      <c r="AA108" s="25"/>
      <c r="AB108" s="25"/>
      <c r="AC108" s="25"/>
      <c r="AD108" s="25"/>
      <c r="AE108" s="25"/>
      <c r="AF108" s="25"/>
      <c r="AG108" s="25"/>
    </row>
    <row r="109" spans="1:33" ht="14.5">
      <c r="A109" s="74">
        <f ca="1">IFERROR(IF(Loan_Not_Paid*Values_Entered,Payment_Number,""), "")</f>
        <v>96</v>
      </c>
      <c r="B109" s="75">
        <f ca="1">IFERROR(IF(Loan_Not_Paid*Values_Entered,Payment_Date,""), "")</f>
        <v>48679</v>
      </c>
      <c r="C109" s="76">
        <f ca="1">IFERROR(IF(Loan_Not_Paid*Values_Entered,Beginning_Balance,""), "")</f>
        <v>9088.8858951282455</v>
      </c>
      <c r="D109" s="76">
        <f ca="1">IFERROR(IF(Loan_Not_Paid*Values_Entered,Monthly_Payment,""), "")</f>
        <v>466.67608947837732</v>
      </c>
      <c r="E109" s="76">
        <f ca="1">IFERROR(IF(Loan_Not_Paid*Values_Entered,Principal,""), "")</f>
        <v>283.00485368099277</v>
      </c>
      <c r="F109" s="76">
        <f ca="1">IFERROR(IF(Loan_Not_Paid*Values_Entered,Interest,""), "")</f>
        <v>183.67123579738453</v>
      </c>
      <c r="G109" s="76">
        <f ca="1">IFERROR(IF(Loan_Not_Paid*Values_Entered,Ending_Balance,""), "")</f>
        <v>8805.8810414472246</v>
      </c>
      <c r="I109" s="25"/>
      <c r="J109" s="25"/>
      <c r="K109" s="25"/>
      <c r="L109" s="25"/>
      <c r="M109" s="25"/>
      <c r="N109" s="25"/>
      <c r="O109" s="25"/>
      <c r="P109" s="25"/>
      <c r="Q109" s="25"/>
      <c r="R109" s="25"/>
      <c r="S109" s="25"/>
      <c r="T109" s="25"/>
      <c r="U109" s="25"/>
      <c r="V109" s="25"/>
      <c r="W109" s="25"/>
      <c r="X109" s="25"/>
      <c r="Y109" s="25"/>
      <c r="Z109" s="25"/>
      <c r="AA109" s="25"/>
      <c r="AB109" s="25"/>
      <c r="AC109" s="25"/>
      <c r="AD109" s="25"/>
      <c r="AE109" s="25"/>
      <c r="AF109" s="25"/>
      <c r="AG109" s="25"/>
    </row>
    <row r="110" spans="1:33" ht="14.5">
      <c r="A110" s="74">
        <f ca="1">IFERROR(IF(Loan_Not_Paid*Values_Entered,Payment_Number,""), "")</f>
        <v>97</v>
      </c>
      <c r="B110" s="75">
        <f ca="1">IFERROR(IF(Loan_Not_Paid*Values_Entered,Payment_Date,""), "")</f>
        <v>48709</v>
      </c>
      <c r="C110" s="76">
        <f ca="1">IFERROR(IF(Loan_Not_Paid*Values_Entered,Beginning_Balance,""), "")</f>
        <v>8805.8810414472246</v>
      </c>
      <c r="D110" s="76">
        <f ca="1">IFERROR(IF(Loan_Not_Paid*Values_Entered,Monthly_Payment,""), "")</f>
        <v>466.67608947837732</v>
      </c>
      <c r="E110" s="76">
        <f ca="1">IFERROR(IF(Loan_Not_Paid*Values_Entered,Principal,""), "")</f>
        <v>288.72391009912951</v>
      </c>
      <c r="F110" s="76">
        <f ca="1">IFERROR(IF(Loan_Not_Paid*Values_Entered,Interest,""), "")</f>
        <v>177.95217937924787</v>
      </c>
      <c r="G110" s="76">
        <f ca="1">IFERROR(IF(Loan_Not_Paid*Values_Entered,Ending_Balance,""), "")</f>
        <v>8517.1571313481254</v>
      </c>
      <c r="I110" s="25"/>
      <c r="J110" s="25"/>
      <c r="K110" s="25"/>
      <c r="L110" s="25"/>
      <c r="M110" s="25"/>
      <c r="N110" s="25"/>
      <c r="O110" s="25"/>
      <c r="P110" s="25"/>
      <c r="Q110" s="25"/>
      <c r="R110" s="25"/>
      <c r="S110" s="25"/>
      <c r="T110" s="25"/>
      <c r="U110" s="25"/>
      <c r="V110" s="25"/>
      <c r="W110" s="25"/>
      <c r="X110" s="25"/>
      <c r="Y110" s="25"/>
      <c r="Z110" s="25"/>
      <c r="AA110" s="25"/>
      <c r="AB110" s="25"/>
      <c r="AC110" s="25"/>
      <c r="AD110" s="25"/>
      <c r="AE110" s="25"/>
      <c r="AF110" s="25"/>
      <c r="AG110" s="25"/>
    </row>
    <row r="111" spans="1:33" ht="14.5">
      <c r="A111" s="78">
        <f ca="1">IFERROR(IF(Loan_Not_Paid*Values_Entered,Payment_Number,""), "")</f>
        <v>98</v>
      </c>
      <c r="B111" s="79">
        <f ca="1">IFERROR(IF(Loan_Not_Paid*Values_Entered,Payment_Date,""), "")</f>
        <v>48740</v>
      </c>
      <c r="C111" s="80">
        <f ca="1">IFERROR(IF(Loan_Not_Paid*Values_Entered,Beginning_Balance,""), "")</f>
        <v>8517.1571313481254</v>
      </c>
      <c r="D111" s="80">
        <f ca="1">IFERROR(IF(Loan_Not_Paid*Values_Entered,Monthly_Payment,""), "")</f>
        <v>466.67608947837732</v>
      </c>
      <c r="E111" s="80">
        <f ca="1">IFERROR(IF(Loan_Not_Paid*Values_Entered,Principal,""), "")</f>
        <v>294.55853911571609</v>
      </c>
      <c r="F111" s="80">
        <f ca="1">IFERROR(IF(Loan_Not_Paid*Values_Entered,Interest,""), "")</f>
        <v>172.11755036266123</v>
      </c>
      <c r="G111" s="80">
        <f ca="1">IFERROR(IF(Loan_Not_Paid*Values_Entered,Ending_Balance,""), "")</f>
        <v>8222.5985922323889</v>
      </c>
      <c r="I111" s="25"/>
      <c r="J111" s="25"/>
      <c r="K111" s="25"/>
      <c r="L111" s="25"/>
      <c r="M111" s="25"/>
      <c r="N111" s="25"/>
      <c r="O111" s="25"/>
      <c r="P111" s="25"/>
      <c r="Q111" s="25"/>
      <c r="R111" s="25"/>
      <c r="S111" s="25"/>
      <c r="T111" s="25"/>
      <c r="U111" s="25"/>
      <c r="V111" s="25"/>
      <c r="W111" s="25"/>
      <c r="X111" s="25"/>
      <c r="Y111" s="25"/>
      <c r="Z111" s="25"/>
      <c r="AA111" s="25"/>
      <c r="AB111" s="25"/>
      <c r="AC111" s="25"/>
      <c r="AD111" s="25"/>
      <c r="AE111" s="25"/>
      <c r="AF111" s="25"/>
      <c r="AG111" s="25"/>
    </row>
    <row r="112" spans="1:33" ht="14.5">
      <c r="A112" s="78">
        <f ca="1">IFERROR(IF(Loan_Not_Paid*Values_Entered,Payment_Number,""), "")</f>
        <v>99</v>
      </c>
      <c r="B112" s="79">
        <f ca="1">IFERROR(IF(Loan_Not_Paid*Values_Entered,Payment_Date,""), "")</f>
        <v>48770</v>
      </c>
      <c r="C112" s="80">
        <f ca="1">IFERROR(IF(Loan_Not_Paid*Values_Entered,Beginning_Balance,""), "")</f>
        <v>8222.5985922323889</v>
      </c>
      <c r="D112" s="80">
        <f ca="1">IFERROR(IF(Loan_Not_Paid*Values_Entered,Monthly_Payment,""), "")</f>
        <v>466.67608947837732</v>
      </c>
      <c r="E112" s="80">
        <f ca="1">IFERROR(IF(Loan_Not_Paid*Values_Entered,Principal,""), "")</f>
        <v>300.51107626034616</v>
      </c>
      <c r="F112" s="80">
        <f ca="1">IFERROR(IF(Loan_Not_Paid*Values_Entered,Interest,""), "")</f>
        <v>166.16501321803116</v>
      </c>
      <c r="G112" s="80">
        <f ca="1">IFERROR(IF(Loan_Not_Paid*Values_Entered,Ending_Balance,""), "")</f>
        <v>7922.0875159720308</v>
      </c>
      <c r="I112" s="25"/>
      <c r="J112" s="25"/>
      <c r="K112" s="25"/>
      <c r="L112" s="25"/>
      <c r="M112" s="25"/>
      <c r="N112" s="25"/>
      <c r="O112" s="25"/>
      <c r="P112" s="25"/>
      <c r="Q112" s="25"/>
      <c r="R112" s="25"/>
      <c r="S112" s="25"/>
      <c r="T112" s="25"/>
      <c r="U112" s="25"/>
      <c r="V112" s="25"/>
      <c r="W112" s="25"/>
      <c r="X112" s="25"/>
      <c r="Y112" s="25"/>
      <c r="Z112" s="25"/>
      <c r="AA112" s="25"/>
      <c r="AB112" s="25"/>
      <c r="AC112" s="25"/>
      <c r="AD112" s="25"/>
      <c r="AE112" s="25"/>
      <c r="AF112" s="25"/>
      <c r="AG112" s="25"/>
    </row>
    <row r="113" spans="1:33" ht="14.5">
      <c r="A113" s="78">
        <f ca="1">IFERROR(IF(Loan_Not_Paid*Values_Entered,Payment_Number,""), "")</f>
        <v>100</v>
      </c>
      <c r="B113" s="79">
        <f ca="1">IFERROR(IF(Loan_Not_Paid*Values_Entered,Payment_Date,""), "")</f>
        <v>48801</v>
      </c>
      <c r="C113" s="80">
        <f ca="1">IFERROR(IF(Loan_Not_Paid*Values_Entered,Beginning_Balance,""), "")</f>
        <v>7922.0875159720308</v>
      </c>
      <c r="D113" s="80">
        <f ca="1">IFERROR(IF(Loan_Not_Paid*Values_Entered,Monthly_Payment,""), "")</f>
        <v>466.67608947837732</v>
      </c>
      <c r="E113" s="80">
        <f ca="1">IFERROR(IF(Loan_Not_Paid*Values_Entered,Principal,""), "")</f>
        <v>306.58390425977404</v>
      </c>
      <c r="F113" s="80">
        <f ca="1">IFERROR(IF(Loan_Not_Paid*Values_Entered,Interest,""), "")</f>
        <v>160.09218521860328</v>
      </c>
      <c r="G113" s="80">
        <f ca="1">IFERROR(IF(Loan_Not_Paid*Values_Entered,Ending_Balance,""), "")</f>
        <v>7615.50361171228</v>
      </c>
      <c r="I113" s="25"/>
      <c r="J113" s="25"/>
      <c r="K113" s="25"/>
      <c r="L113" s="25"/>
      <c r="M113" s="25"/>
      <c r="N113" s="25"/>
      <c r="O113" s="25"/>
      <c r="P113" s="25"/>
      <c r="Q113" s="25"/>
      <c r="R113" s="25"/>
      <c r="S113" s="25"/>
      <c r="T113" s="25"/>
      <c r="U113" s="25"/>
      <c r="V113" s="25"/>
      <c r="W113" s="25"/>
      <c r="X113" s="25"/>
      <c r="Y113" s="25"/>
      <c r="Z113" s="25"/>
      <c r="AA113" s="25"/>
      <c r="AB113" s="25"/>
      <c r="AC113" s="25"/>
      <c r="AD113" s="25"/>
      <c r="AE113" s="25"/>
      <c r="AF113" s="25"/>
      <c r="AG113" s="25"/>
    </row>
    <row r="114" spans="1:33" ht="14.5">
      <c r="A114" s="78">
        <f ca="1">IFERROR(IF(Loan_Not_Paid*Values_Entered,Payment_Number,""), "")</f>
        <v>101</v>
      </c>
      <c r="B114" s="79">
        <f ca="1">IFERROR(IF(Loan_Not_Paid*Values_Entered,Payment_Date,""), "")</f>
        <v>48832</v>
      </c>
      <c r="C114" s="80">
        <f ca="1">IFERROR(IF(Loan_Not_Paid*Values_Entered,Beginning_Balance,""), "")</f>
        <v>7615.50361171228</v>
      </c>
      <c r="D114" s="80">
        <f ca="1">IFERROR(IF(Loan_Not_Paid*Values_Entered,Monthly_Payment,""), "")</f>
        <v>466.67608947837732</v>
      </c>
      <c r="E114" s="80">
        <f ca="1">IFERROR(IF(Loan_Not_Paid*Values_Entered,Principal,""), "")</f>
        <v>312.77945399169027</v>
      </c>
      <c r="F114" s="80">
        <f ca="1">IFERROR(IF(Loan_Not_Paid*Values_Entered,Interest,""), "")</f>
        <v>153.89663548668705</v>
      </c>
      <c r="G114" s="80">
        <f ca="1">IFERROR(IF(Loan_Not_Paid*Values_Entered,Ending_Balance,""), "")</f>
        <v>7302.7241577206005</v>
      </c>
      <c r="I114" s="25"/>
      <c r="J114" s="25"/>
      <c r="K114" s="25"/>
      <c r="L114" s="25"/>
      <c r="M114" s="25"/>
      <c r="N114" s="25"/>
      <c r="O114" s="25"/>
      <c r="P114" s="25"/>
      <c r="Q114" s="25"/>
      <c r="R114" s="25"/>
      <c r="S114" s="25"/>
      <c r="T114" s="25"/>
      <c r="U114" s="25"/>
      <c r="V114" s="25"/>
      <c r="W114" s="25"/>
      <c r="X114" s="25"/>
      <c r="Y114" s="25"/>
      <c r="Z114" s="25"/>
      <c r="AA114" s="25"/>
      <c r="AB114" s="25"/>
      <c r="AC114" s="25"/>
      <c r="AD114" s="25"/>
      <c r="AE114" s="25"/>
      <c r="AF114" s="25"/>
      <c r="AG114" s="25"/>
    </row>
    <row r="115" spans="1:33" ht="14.5">
      <c r="A115" s="78">
        <f ca="1">IFERROR(IF(Loan_Not_Paid*Values_Entered,Payment_Number,""), "")</f>
        <v>102</v>
      </c>
      <c r="B115" s="79">
        <f ca="1">IFERROR(IF(Loan_Not_Paid*Values_Entered,Payment_Date,""), "")</f>
        <v>48862</v>
      </c>
      <c r="C115" s="80">
        <f ca="1">IFERROR(IF(Loan_Not_Paid*Values_Entered,Beginning_Balance,""), "")</f>
        <v>7302.7241577206005</v>
      </c>
      <c r="D115" s="80">
        <f ca="1">IFERROR(IF(Loan_Not_Paid*Values_Entered,Monthly_Payment,""), "")</f>
        <v>466.67608947837732</v>
      </c>
      <c r="E115" s="80">
        <f ca="1">IFERROR(IF(Loan_Not_Paid*Values_Entered,Principal,""), "")</f>
        <v>319.10020545777235</v>
      </c>
      <c r="F115" s="80">
        <f ca="1">IFERROR(IF(Loan_Not_Paid*Values_Entered,Interest,""), "")</f>
        <v>147.57588402060497</v>
      </c>
      <c r="G115" s="80">
        <f ca="1">IFERROR(IF(Loan_Not_Paid*Values_Entered,Ending_Balance,""), "")</f>
        <v>6983.623952262802</v>
      </c>
      <c r="I115" s="25"/>
      <c r="J115" s="25"/>
      <c r="K115" s="25"/>
      <c r="L115" s="25"/>
      <c r="M115" s="25"/>
      <c r="N115" s="25"/>
      <c r="O115" s="25"/>
      <c r="P115" s="25"/>
      <c r="Q115" s="25"/>
      <c r="R115" s="25"/>
      <c r="S115" s="25"/>
      <c r="T115" s="25"/>
      <c r="U115" s="25"/>
      <c r="V115" s="25"/>
      <c r="W115" s="25"/>
      <c r="X115" s="25"/>
      <c r="Y115" s="25"/>
      <c r="Z115" s="25"/>
      <c r="AA115" s="25"/>
      <c r="AB115" s="25"/>
      <c r="AC115" s="25"/>
      <c r="AD115" s="25"/>
      <c r="AE115" s="25"/>
      <c r="AF115" s="25"/>
      <c r="AG115" s="25"/>
    </row>
    <row r="116" spans="1:33" ht="14.5">
      <c r="A116" s="78">
        <f ca="1">IFERROR(IF(Loan_Not_Paid*Values_Entered,Payment_Number,""), "")</f>
        <v>103</v>
      </c>
      <c r="B116" s="79">
        <f ca="1">IFERROR(IF(Loan_Not_Paid*Values_Entered,Payment_Date,""), "")</f>
        <v>48893</v>
      </c>
      <c r="C116" s="80">
        <f ca="1">IFERROR(IF(Loan_Not_Paid*Values_Entered,Beginning_Balance,""), "")</f>
        <v>6983.623952262802</v>
      </c>
      <c r="D116" s="80">
        <f ca="1">IFERROR(IF(Loan_Not_Paid*Values_Entered,Monthly_Payment,""), "")</f>
        <v>466.67608947837732</v>
      </c>
      <c r="E116" s="80">
        <f ca="1">IFERROR(IF(Loan_Not_Paid*Values_Entered,Principal,""), "")</f>
        <v>325.54868877639819</v>
      </c>
      <c r="F116" s="80">
        <f ca="1">IFERROR(IF(Loan_Not_Paid*Values_Entered,Interest,""), "")</f>
        <v>141.12740070197916</v>
      </c>
      <c r="G116" s="80">
        <f ca="1">IFERROR(IF(Loan_Not_Paid*Values_Entered,Ending_Balance,""), "")</f>
        <v>6658.0752634863893</v>
      </c>
      <c r="I116" s="25"/>
      <c r="J116" s="25"/>
      <c r="K116" s="25"/>
      <c r="L116" s="25"/>
      <c r="M116" s="25"/>
      <c r="N116" s="25"/>
      <c r="O116" s="25"/>
      <c r="P116" s="25"/>
      <c r="Q116" s="25"/>
      <c r="R116" s="25"/>
      <c r="S116" s="25"/>
      <c r="T116" s="25"/>
      <c r="U116" s="25"/>
      <c r="V116" s="25"/>
      <c r="W116" s="25"/>
      <c r="X116" s="25"/>
      <c r="Y116" s="25"/>
      <c r="Z116" s="25"/>
      <c r="AA116" s="25"/>
      <c r="AB116" s="25"/>
      <c r="AC116" s="25"/>
      <c r="AD116" s="25"/>
      <c r="AE116" s="25"/>
      <c r="AF116" s="25"/>
      <c r="AG116" s="25"/>
    </row>
    <row r="117" spans="1:33" ht="14.5">
      <c r="A117" s="78">
        <f ca="1">IFERROR(IF(Loan_Not_Paid*Values_Entered,Payment_Number,""), "")</f>
        <v>104</v>
      </c>
      <c r="B117" s="79">
        <f ca="1">IFERROR(IF(Loan_Not_Paid*Values_Entered,Payment_Date,""), "")</f>
        <v>48923</v>
      </c>
      <c r="C117" s="80">
        <f ca="1">IFERROR(IF(Loan_Not_Paid*Values_Entered,Beginning_Balance,""), "")</f>
        <v>6658.0752634863893</v>
      </c>
      <c r="D117" s="80">
        <f ca="1">IFERROR(IF(Loan_Not_Paid*Values_Entered,Monthly_Payment,""), "")</f>
        <v>466.67608947837732</v>
      </c>
      <c r="E117" s="80">
        <f ca="1">IFERROR(IF(Loan_Not_Paid*Values_Entered,Principal,""), "")</f>
        <v>332.12748519542117</v>
      </c>
      <c r="F117" s="80">
        <f ca="1">IFERROR(IF(Loan_Not_Paid*Values_Entered,Interest,""), "")</f>
        <v>134.54860428295612</v>
      </c>
      <c r="G117" s="80">
        <f ca="1">IFERROR(IF(Loan_Not_Paid*Values_Entered,Ending_Balance,""), "")</f>
        <v>6325.9477782910108</v>
      </c>
      <c r="I117" s="25"/>
      <c r="J117" s="25"/>
      <c r="K117" s="25"/>
      <c r="L117" s="25"/>
      <c r="M117" s="25"/>
      <c r="N117" s="25"/>
      <c r="O117" s="25"/>
      <c r="P117" s="25"/>
      <c r="Q117" s="25"/>
      <c r="R117" s="25"/>
      <c r="S117" s="25"/>
      <c r="T117" s="25"/>
      <c r="U117" s="25"/>
      <c r="V117" s="25"/>
      <c r="W117" s="25"/>
      <c r="X117" s="25"/>
      <c r="Y117" s="25"/>
      <c r="Z117" s="25"/>
      <c r="AA117" s="25"/>
      <c r="AB117" s="25"/>
      <c r="AC117" s="25"/>
      <c r="AD117" s="25"/>
      <c r="AE117" s="25"/>
      <c r="AF117" s="25"/>
      <c r="AG117" s="25"/>
    </row>
    <row r="118" spans="1:33" ht="14.5">
      <c r="A118" s="78">
        <f ca="1">IFERROR(IF(Loan_Not_Paid*Values_Entered,Payment_Number,""), "")</f>
        <v>105</v>
      </c>
      <c r="B118" s="79">
        <f ca="1">IFERROR(IF(Loan_Not_Paid*Values_Entered,Payment_Date,""), "")</f>
        <v>48954</v>
      </c>
      <c r="C118" s="80">
        <f ca="1">IFERROR(IF(Loan_Not_Paid*Values_Entered,Beginning_Balance,""), "")</f>
        <v>6325.9477782910108</v>
      </c>
      <c r="D118" s="80">
        <f ca="1">IFERROR(IF(Loan_Not_Paid*Values_Entered,Monthly_Payment,""), "")</f>
        <v>466.67608947837732</v>
      </c>
      <c r="E118" s="80">
        <f ca="1">IFERROR(IF(Loan_Not_Paid*Values_Entered,Principal,""), "")</f>
        <v>338.83922812541203</v>
      </c>
      <c r="F118" s="80">
        <f ca="1">IFERROR(IF(Loan_Not_Paid*Values_Entered,Interest,""), "")</f>
        <v>127.8368613529653</v>
      </c>
      <c r="G118" s="80">
        <f ca="1">IFERROR(IF(Loan_Not_Paid*Values_Entered,Ending_Balance,""), "")</f>
        <v>5987.1085501655762</v>
      </c>
      <c r="I118" s="25"/>
      <c r="J118" s="25"/>
      <c r="K118" s="25"/>
      <c r="L118" s="25"/>
      <c r="M118" s="25"/>
      <c r="N118" s="25"/>
      <c r="O118" s="25"/>
      <c r="P118" s="25"/>
      <c r="Q118" s="25"/>
      <c r="R118" s="25"/>
      <c r="S118" s="25"/>
      <c r="T118" s="25"/>
      <c r="U118" s="25"/>
      <c r="V118" s="25"/>
      <c r="W118" s="25"/>
      <c r="X118" s="25"/>
      <c r="Y118" s="25"/>
      <c r="Z118" s="25"/>
      <c r="AA118" s="25"/>
      <c r="AB118" s="25"/>
      <c r="AC118" s="25"/>
      <c r="AD118" s="25"/>
      <c r="AE118" s="25"/>
      <c r="AF118" s="25"/>
      <c r="AG118" s="25"/>
    </row>
    <row r="119" spans="1:33" ht="14.5">
      <c r="A119" s="78">
        <f ca="1">IFERROR(IF(Loan_Not_Paid*Values_Entered,Payment_Number,""), "")</f>
        <v>106</v>
      </c>
      <c r="B119" s="79">
        <f ca="1">IFERROR(IF(Loan_Not_Paid*Values_Entered,Payment_Date,""), "")</f>
        <v>48985</v>
      </c>
      <c r="C119" s="80">
        <f ca="1">IFERROR(IF(Loan_Not_Paid*Values_Entered,Beginning_Balance,""), "")</f>
        <v>5987.1085501655762</v>
      </c>
      <c r="D119" s="80">
        <f ca="1">IFERROR(IF(Loan_Not_Paid*Values_Entered,Monthly_Payment,""), "")</f>
        <v>466.67608947837732</v>
      </c>
      <c r="E119" s="80">
        <f ca="1">IFERROR(IF(Loan_Not_Paid*Values_Entered,Principal,""), "")</f>
        <v>345.68660419377966</v>
      </c>
      <c r="F119" s="80">
        <f ca="1">IFERROR(IF(Loan_Not_Paid*Values_Entered,Interest,""), "")</f>
        <v>120.98948528459761</v>
      </c>
      <c r="G119" s="80">
        <f ca="1">IFERROR(IF(Loan_Not_Paid*Values_Entered,Ending_Balance,""), "")</f>
        <v>5641.421945971786</v>
      </c>
      <c r="I119" s="25"/>
      <c r="J119" s="25"/>
      <c r="K119" s="25"/>
      <c r="L119" s="25"/>
      <c r="M119" s="25"/>
      <c r="N119" s="25"/>
      <c r="O119" s="25"/>
      <c r="P119" s="25"/>
      <c r="Q119" s="25"/>
      <c r="R119" s="25"/>
      <c r="S119" s="25"/>
      <c r="T119" s="25"/>
      <c r="U119" s="25"/>
      <c r="V119" s="25"/>
      <c r="W119" s="25"/>
      <c r="X119" s="25"/>
      <c r="Y119" s="25"/>
      <c r="Z119" s="25"/>
      <c r="AA119" s="25"/>
      <c r="AB119" s="25"/>
      <c r="AC119" s="25"/>
      <c r="AD119" s="25"/>
      <c r="AE119" s="25"/>
      <c r="AF119" s="25"/>
      <c r="AG119" s="25"/>
    </row>
    <row r="120" spans="1:33" ht="14.5">
      <c r="A120" s="78">
        <f ca="1">IFERROR(IF(Loan_Not_Paid*Values_Entered,Payment_Number,""), "")</f>
        <v>107</v>
      </c>
      <c r="B120" s="79">
        <f ca="1">IFERROR(IF(Loan_Not_Paid*Values_Entered,Payment_Date,""), "")</f>
        <v>49013</v>
      </c>
      <c r="C120" s="80">
        <f ca="1">IFERROR(IF(Loan_Not_Paid*Values_Entered,Beginning_Balance,""), "")</f>
        <v>5641.421945971786</v>
      </c>
      <c r="D120" s="80">
        <f ca="1">IFERROR(IF(Loan_Not_Paid*Values_Entered,Monthly_Payment,""), "")</f>
        <v>466.67608947837732</v>
      </c>
      <c r="E120" s="80">
        <f ca="1">IFERROR(IF(Loan_Not_Paid*Values_Entered,Principal,""), "")</f>
        <v>352.67235432019567</v>
      </c>
      <c r="F120" s="80">
        <f ca="1">IFERROR(IF(Loan_Not_Paid*Values_Entered,Interest,""), "")</f>
        <v>114.00373515818167</v>
      </c>
      <c r="G120" s="80">
        <f ca="1">IFERROR(IF(Loan_Not_Paid*Values_Entered,Ending_Balance,""), "")</f>
        <v>5288.7495916515763</v>
      </c>
      <c r="I120" s="25"/>
      <c r="J120" s="25"/>
      <c r="K120" s="25"/>
      <c r="L120" s="25"/>
      <c r="M120" s="25"/>
      <c r="N120" s="25"/>
      <c r="O120" s="25"/>
      <c r="P120" s="25"/>
      <c r="Q120" s="25"/>
      <c r="R120" s="25"/>
      <c r="S120" s="25"/>
      <c r="T120" s="25"/>
      <c r="U120" s="25"/>
      <c r="V120" s="25"/>
      <c r="W120" s="25"/>
      <c r="X120" s="25"/>
      <c r="Y120" s="25"/>
      <c r="Z120" s="25"/>
      <c r="AA120" s="25"/>
      <c r="AB120" s="25"/>
      <c r="AC120" s="25"/>
      <c r="AD120" s="25"/>
      <c r="AE120" s="25"/>
      <c r="AF120" s="25"/>
      <c r="AG120" s="25"/>
    </row>
    <row r="121" spans="1:33" ht="14.5">
      <c r="A121" s="78">
        <f ca="1">IFERROR(IF(Loan_Not_Paid*Values_Entered,Payment_Number,""), "")</f>
        <v>108</v>
      </c>
      <c r="B121" s="79">
        <f ca="1">IFERROR(IF(Loan_Not_Paid*Values_Entered,Payment_Date,""), "")</f>
        <v>49044</v>
      </c>
      <c r="C121" s="80">
        <f ca="1">IFERROR(IF(Loan_Not_Paid*Values_Entered,Beginning_Balance,""), "")</f>
        <v>5288.7495916515763</v>
      </c>
      <c r="D121" s="80">
        <f ca="1">IFERROR(IF(Loan_Not_Paid*Values_Entered,Monthly_Payment,""), "")</f>
        <v>466.67608947837732</v>
      </c>
      <c r="E121" s="80">
        <f ca="1">IFERROR(IF(Loan_Not_Paid*Values_Entered,Principal,""), "")</f>
        <v>359.79927481374966</v>
      </c>
      <c r="F121" s="80">
        <f ca="1">IFERROR(IF(Loan_Not_Paid*Values_Entered,Interest,""), "")</f>
        <v>106.87681466462772</v>
      </c>
      <c r="G121" s="80">
        <f ca="1">IFERROR(IF(Loan_Not_Paid*Values_Entered,Ending_Balance,""), "")</f>
        <v>4928.9503168378433</v>
      </c>
      <c r="I121" s="25"/>
      <c r="J121" s="25"/>
      <c r="K121" s="25"/>
      <c r="L121" s="25"/>
      <c r="M121" s="25"/>
      <c r="N121" s="25"/>
      <c r="O121" s="25"/>
      <c r="P121" s="25"/>
      <c r="Q121" s="25"/>
      <c r="R121" s="25"/>
      <c r="S121" s="25"/>
      <c r="T121" s="25"/>
      <c r="U121" s="25"/>
      <c r="V121" s="25"/>
      <c r="W121" s="25"/>
      <c r="X121" s="25"/>
      <c r="Y121" s="25"/>
      <c r="Z121" s="25"/>
      <c r="AA121" s="25"/>
      <c r="AB121" s="25"/>
      <c r="AC121" s="25"/>
      <c r="AD121" s="25"/>
      <c r="AE121" s="25"/>
      <c r="AF121" s="25"/>
      <c r="AG121" s="25"/>
    </row>
    <row r="122" spans="1:33" ht="14.5">
      <c r="A122" s="78">
        <f ca="1">IFERROR(IF(Loan_Not_Paid*Values_Entered,Payment_Number,""), "")</f>
        <v>109</v>
      </c>
      <c r="B122" s="79">
        <f ca="1">IFERROR(IF(Loan_Not_Paid*Values_Entered,Payment_Date,""), "")</f>
        <v>49074</v>
      </c>
      <c r="C122" s="80">
        <f ca="1">IFERROR(IF(Loan_Not_Paid*Values_Entered,Beginning_Balance,""), "")</f>
        <v>4928.9503168378433</v>
      </c>
      <c r="D122" s="80">
        <f ca="1">IFERROR(IF(Loan_Not_Paid*Values_Entered,Monthly_Payment,""), "")</f>
        <v>466.67608947837732</v>
      </c>
      <c r="E122" s="80">
        <f ca="1">IFERROR(IF(Loan_Not_Paid*Values_Entered,Principal,""), "")</f>
        <v>367.07021849227749</v>
      </c>
      <c r="F122" s="80">
        <f ca="1">IFERROR(IF(Loan_Not_Paid*Values_Entered,Interest,""), "")</f>
        <v>99.605870986099845</v>
      </c>
      <c r="G122" s="80">
        <f ca="1">IFERROR(IF(Loan_Not_Paid*Values_Entered,Ending_Balance,""), "")</f>
        <v>4561.8800983455731</v>
      </c>
      <c r="I122" s="25"/>
      <c r="J122" s="25"/>
      <c r="K122" s="25"/>
      <c r="L122" s="25"/>
      <c r="M122" s="25"/>
      <c r="N122" s="25"/>
      <c r="O122" s="25"/>
      <c r="P122" s="25"/>
      <c r="Q122" s="25"/>
      <c r="R122" s="25"/>
      <c r="S122" s="25"/>
      <c r="T122" s="25"/>
      <c r="U122" s="25"/>
      <c r="V122" s="25"/>
      <c r="W122" s="25"/>
      <c r="X122" s="25"/>
      <c r="Y122" s="25"/>
      <c r="Z122" s="25"/>
      <c r="AA122" s="25"/>
      <c r="AB122" s="25"/>
      <c r="AC122" s="25"/>
      <c r="AD122" s="25"/>
      <c r="AE122" s="25"/>
      <c r="AF122" s="25"/>
      <c r="AG122" s="25"/>
    </row>
    <row r="123" spans="1:33" ht="14.5">
      <c r="A123" s="78">
        <f ca="1">IFERROR(IF(Loan_Not_Paid*Values_Entered,Payment_Number,""), "")</f>
        <v>110</v>
      </c>
      <c r="B123" s="79">
        <f ca="1">IFERROR(IF(Loan_Not_Paid*Values_Entered,Payment_Date,""), "")</f>
        <v>49105</v>
      </c>
      <c r="C123" s="80">
        <f ca="1">IFERROR(IF(Loan_Not_Paid*Values_Entered,Beginning_Balance,""), "")</f>
        <v>4561.8800983455731</v>
      </c>
      <c r="D123" s="80">
        <f ca="1">IFERROR(IF(Loan_Not_Paid*Values_Entered,Monthly_Payment,""), "")</f>
        <v>466.67608947837732</v>
      </c>
      <c r="E123" s="80">
        <f ca="1">IFERROR(IF(Loan_Not_Paid*Values_Entered,Principal,""), "")</f>
        <v>374.48809582430891</v>
      </c>
      <c r="F123" s="80">
        <f ca="1">IFERROR(IF(Loan_Not_Paid*Values_Entered,Interest,""), "")</f>
        <v>92.187993654068393</v>
      </c>
      <c r="G123" s="80">
        <f ca="1">IFERROR(IF(Loan_Not_Paid*Values_Entered,Ending_Balance,""), "")</f>
        <v>4187.3920025212574</v>
      </c>
      <c r="I123" s="25"/>
      <c r="J123" s="25"/>
      <c r="K123" s="25"/>
      <c r="L123" s="25"/>
      <c r="M123" s="25"/>
      <c r="N123" s="25"/>
      <c r="O123" s="25"/>
      <c r="P123" s="25"/>
      <c r="Q123" s="25"/>
      <c r="R123" s="25"/>
      <c r="S123" s="25"/>
      <c r="T123" s="25"/>
      <c r="U123" s="25"/>
      <c r="V123" s="25"/>
      <c r="W123" s="25"/>
      <c r="X123" s="25"/>
      <c r="Y123" s="25"/>
      <c r="Z123" s="25"/>
      <c r="AA123" s="25"/>
      <c r="AB123" s="25"/>
      <c r="AC123" s="25"/>
      <c r="AD123" s="25"/>
      <c r="AE123" s="25"/>
      <c r="AF123" s="25"/>
      <c r="AG123" s="25"/>
    </row>
    <row r="124" spans="1:33" ht="14.5">
      <c r="A124" s="78">
        <f ca="1">IFERROR(IF(Loan_Not_Paid*Values_Entered,Payment_Number,""), "")</f>
        <v>111</v>
      </c>
      <c r="B124" s="79">
        <f ca="1">IFERROR(IF(Loan_Not_Paid*Values_Entered,Payment_Date,""), "")</f>
        <v>49135</v>
      </c>
      <c r="C124" s="80">
        <f ca="1">IFERROR(IF(Loan_Not_Paid*Values_Entered,Beginning_Balance,""), "")</f>
        <v>4187.3920025212574</v>
      </c>
      <c r="D124" s="80">
        <f ca="1">IFERROR(IF(Loan_Not_Paid*Values_Entered,Monthly_Payment,""), "")</f>
        <v>466.67608947837732</v>
      </c>
      <c r="E124" s="80">
        <f ca="1">IFERROR(IF(Loan_Not_Paid*Values_Entered,Principal,""), "")</f>
        <v>382.05587609409179</v>
      </c>
      <c r="F124" s="80">
        <f ca="1">IFERROR(IF(Loan_Not_Paid*Values_Entered,Interest,""), "")</f>
        <v>84.620213384285478</v>
      </c>
      <c r="G124" s="80">
        <f ca="1">IFERROR(IF(Loan_Not_Paid*Values_Entered,Ending_Balance,""), "")</f>
        <v>3805.3361264271371</v>
      </c>
      <c r="I124" s="25"/>
      <c r="J124" s="25"/>
      <c r="K124" s="25"/>
      <c r="L124" s="25"/>
      <c r="M124" s="25"/>
      <c r="N124" s="25"/>
      <c r="O124" s="25"/>
      <c r="P124" s="25"/>
      <c r="Q124" s="25"/>
      <c r="R124" s="25"/>
      <c r="S124" s="25"/>
      <c r="T124" s="25"/>
      <c r="U124" s="25"/>
      <c r="V124" s="25"/>
      <c r="W124" s="25"/>
      <c r="X124" s="25"/>
      <c r="Y124" s="25"/>
      <c r="Z124" s="25"/>
      <c r="AA124" s="25"/>
      <c r="AB124" s="25"/>
      <c r="AC124" s="25"/>
      <c r="AD124" s="25"/>
      <c r="AE124" s="25"/>
      <c r="AF124" s="25"/>
      <c r="AG124" s="25"/>
    </row>
    <row r="125" spans="1:33" ht="14.5">
      <c r="A125" s="78">
        <f ca="1">IFERROR(IF(Loan_Not_Paid*Values_Entered,Payment_Number,""), "")</f>
        <v>112</v>
      </c>
      <c r="B125" s="79">
        <f ca="1">IFERROR(IF(Loan_Not_Paid*Values_Entered,Payment_Date,""), "")</f>
        <v>49166</v>
      </c>
      <c r="C125" s="80">
        <f ca="1">IFERROR(IF(Loan_Not_Paid*Values_Entered,Beginning_Balance,""), "")</f>
        <v>3805.3361264271371</v>
      </c>
      <c r="D125" s="80">
        <f ca="1">IFERROR(IF(Loan_Not_Paid*Values_Entered,Monthly_Payment,""), "")</f>
        <v>466.67608947837732</v>
      </c>
      <c r="E125" s="80">
        <f ca="1">IFERROR(IF(Loan_Not_Paid*Values_Entered,Principal,""), "")</f>
        <v>389.77658859015997</v>
      </c>
      <c r="F125" s="80">
        <f ca="1">IFERROR(IF(Loan_Not_Paid*Values_Entered,Interest,""), "")</f>
        <v>76.899500888217389</v>
      </c>
      <c r="G125" s="80">
        <f ca="1">IFERROR(IF(Loan_Not_Paid*Values_Entered,Ending_Balance,""), "")</f>
        <v>3415.5595378370199</v>
      </c>
      <c r="I125" s="25"/>
      <c r="J125" s="25"/>
      <c r="K125" s="25"/>
      <c r="L125" s="25"/>
      <c r="M125" s="25"/>
      <c r="N125" s="25"/>
      <c r="O125" s="25"/>
      <c r="P125" s="25"/>
      <c r="Q125" s="25"/>
      <c r="R125" s="25"/>
      <c r="S125" s="25"/>
      <c r="T125" s="25"/>
      <c r="U125" s="25"/>
      <c r="V125" s="25"/>
      <c r="W125" s="25"/>
      <c r="X125" s="25"/>
      <c r="Y125" s="25"/>
      <c r="Z125" s="25"/>
      <c r="AA125" s="25"/>
      <c r="AB125" s="25"/>
      <c r="AC125" s="25"/>
      <c r="AD125" s="25"/>
      <c r="AE125" s="25"/>
      <c r="AF125" s="25"/>
      <c r="AG125" s="25"/>
    </row>
    <row r="126" spans="1:33" ht="14.5">
      <c r="A126" s="78">
        <f ca="1">IFERROR(IF(Loan_Not_Paid*Values_Entered,Payment_Number,""), "")</f>
        <v>113</v>
      </c>
      <c r="B126" s="79">
        <f ca="1">IFERROR(IF(Loan_Not_Paid*Values_Entered,Payment_Date,""), "")</f>
        <v>49197</v>
      </c>
      <c r="C126" s="80">
        <f ca="1">IFERROR(IF(Loan_Not_Paid*Values_Entered,Beginning_Balance,""), "")</f>
        <v>3415.5595378370199</v>
      </c>
      <c r="D126" s="80">
        <f ca="1">IFERROR(IF(Loan_Not_Paid*Values_Entered,Monthly_Payment,""), "")</f>
        <v>466.67608947837732</v>
      </c>
      <c r="E126" s="80">
        <f ca="1">IFERROR(IF(Loan_Not_Paid*Values_Entered,Principal,""), "")</f>
        <v>397.65332381791939</v>
      </c>
      <c r="F126" s="80">
        <f ca="1">IFERROR(IF(Loan_Not_Paid*Values_Entered,Interest,""), "")</f>
        <v>69.022765660457893</v>
      </c>
      <c r="G126" s="80">
        <f ca="1">IFERROR(IF(Loan_Not_Paid*Values_Entered,Ending_Balance,""), "")</f>
        <v>3017.9062140190508</v>
      </c>
      <c r="I126" s="25"/>
      <c r="J126" s="25"/>
      <c r="K126" s="25"/>
      <c r="L126" s="25"/>
      <c r="M126" s="25"/>
      <c r="N126" s="25"/>
      <c r="O126" s="25"/>
      <c r="P126" s="25"/>
      <c r="Q126" s="25"/>
      <c r="R126" s="25"/>
      <c r="S126" s="25"/>
      <c r="T126" s="25"/>
      <c r="U126" s="25"/>
      <c r="V126" s="25"/>
      <c r="W126" s="25"/>
      <c r="X126" s="25"/>
      <c r="Y126" s="25"/>
      <c r="Z126" s="25"/>
      <c r="AA126" s="25"/>
      <c r="AB126" s="25"/>
      <c r="AC126" s="25"/>
      <c r="AD126" s="25"/>
      <c r="AE126" s="25"/>
      <c r="AF126" s="25"/>
      <c r="AG126" s="25"/>
    </row>
    <row r="127" spans="1:33" ht="14.5">
      <c r="A127" s="78">
        <f ca="1">IFERROR(IF(Loan_Not_Paid*Values_Entered,Payment_Number,""), "")</f>
        <v>114</v>
      </c>
      <c r="B127" s="79">
        <f ca="1">IFERROR(IF(Loan_Not_Paid*Values_Entered,Payment_Date,""), "")</f>
        <v>49227</v>
      </c>
      <c r="C127" s="80">
        <f ca="1">IFERROR(IF(Loan_Not_Paid*Values_Entered,Beginning_Balance,""), "")</f>
        <v>3017.9062140190508</v>
      </c>
      <c r="D127" s="80">
        <f ca="1">IFERROR(IF(Loan_Not_Paid*Values_Entered,Monthly_Payment,""), "")</f>
        <v>466.67608947837732</v>
      </c>
      <c r="E127" s="80">
        <f ca="1">IFERROR(IF(Loan_Not_Paid*Values_Entered,Principal,""), "")</f>
        <v>405.68923473673988</v>
      </c>
      <c r="F127" s="80">
        <f ca="1">IFERROR(IF(Loan_Not_Paid*Values_Entered,Interest,""), "")</f>
        <v>60.986854741637444</v>
      </c>
      <c r="G127" s="80">
        <f ca="1">IFERROR(IF(Loan_Not_Paid*Values_Entered,Ending_Balance,""), "")</f>
        <v>2612.2169792823261</v>
      </c>
      <c r="I127" s="25"/>
      <c r="J127" s="25"/>
      <c r="K127" s="25"/>
      <c r="L127" s="25"/>
      <c r="M127" s="25"/>
      <c r="N127" s="25"/>
      <c r="O127" s="25"/>
      <c r="P127" s="25"/>
      <c r="Q127" s="25"/>
      <c r="R127" s="25"/>
      <c r="S127" s="25"/>
      <c r="T127" s="25"/>
      <c r="U127" s="25"/>
      <c r="V127" s="25"/>
      <c r="W127" s="25"/>
      <c r="X127" s="25"/>
      <c r="Y127" s="25"/>
      <c r="Z127" s="25"/>
      <c r="AA127" s="25"/>
      <c r="AB127" s="25"/>
      <c r="AC127" s="25"/>
      <c r="AD127" s="25"/>
      <c r="AE127" s="25"/>
      <c r="AF127" s="25"/>
      <c r="AG127" s="25"/>
    </row>
    <row r="128" spans="1:33" ht="14.5">
      <c r="A128" s="78">
        <f ca="1">IFERROR(IF(Loan_Not_Paid*Values_Entered,Payment_Number,""), "")</f>
        <v>115</v>
      </c>
      <c r="B128" s="79">
        <f ca="1">IFERROR(IF(Loan_Not_Paid*Values_Entered,Payment_Date,""), "")</f>
        <v>49258</v>
      </c>
      <c r="C128" s="80">
        <f ca="1">IFERROR(IF(Loan_Not_Paid*Values_Entered,Beginning_Balance,""), "")</f>
        <v>2612.2169792823261</v>
      </c>
      <c r="D128" s="80">
        <f ca="1">IFERROR(IF(Loan_Not_Paid*Values_Entered,Monthly_Payment,""), "")</f>
        <v>466.67608947837732</v>
      </c>
      <c r="E128" s="80">
        <f ca="1">IFERROR(IF(Loan_Not_Paid*Values_Entered,Principal,""), "")</f>
        <v>413.88753802204485</v>
      </c>
      <c r="F128" s="80">
        <f ca="1">IFERROR(IF(Loan_Not_Paid*Values_Entered,Interest,""), "")</f>
        <v>52.788551456332492</v>
      </c>
      <c r="G128" s="80">
        <f ca="1">IFERROR(IF(Loan_Not_Paid*Values_Entered,Ending_Balance,""), "")</f>
        <v>2198.3294412602845</v>
      </c>
      <c r="I128" s="25"/>
      <c r="J128" s="25"/>
      <c r="K128" s="25"/>
      <c r="L128" s="25"/>
      <c r="M128" s="25"/>
      <c r="N128" s="25"/>
      <c r="O128" s="25"/>
      <c r="P128" s="25"/>
      <c r="Q128" s="25"/>
      <c r="R128" s="25"/>
      <c r="S128" s="25"/>
      <c r="T128" s="25"/>
      <c r="U128" s="25"/>
      <c r="V128" s="25"/>
      <c r="W128" s="25"/>
      <c r="X128" s="25"/>
      <c r="Y128" s="25"/>
      <c r="Z128" s="25"/>
      <c r="AA128" s="25"/>
      <c r="AB128" s="25"/>
      <c r="AC128" s="25"/>
      <c r="AD128" s="25"/>
      <c r="AE128" s="25"/>
      <c r="AF128" s="25"/>
      <c r="AG128" s="25"/>
    </row>
    <row r="129" spans="1:33" ht="14.5">
      <c r="A129" s="78">
        <f ca="1">IFERROR(IF(Loan_Not_Paid*Values_Entered,Payment_Number,""), "")</f>
        <v>116</v>
      </c>
      <c r="B129" s="79">
        <f ca="1">IFERROR(IF(Loan_Not_Paid*Values_Entered,Payment_Date,""), "")</f>
        <v>49288</v>
      </c>
      <c r="C129" s="80">
        <f ca="1">IFERROR(IF(Loan_Not_Paid*Values_Entered,Beginning_Balance,""), "")</f>
        <v>2198.3294412602845</v>
      </c>
      <c r="D129" s="80">
        <f ca="1">IFERROR(IF(Loan_Not_Paid*Values_Entered,Monthly_Payment,""), "")</f>
        <v>466.67608947837732</v>
      </c>
      <c r="E129" s="80">
        <f ca="1">IFERROR(IF(Loan_Not_Paid*Values_Entered,Principal,""), "")</f>
        <v>422.25151535290695</v>
      </c>
      <c r="F129" s="80">
        <f ca="1">IFERROR(IF(Loan_Not_Paid*Values_Entered,Interest,""), "")</f>
        <v>44.424574125470343</v>
      </c>
      <c r="G129" s="80">
        <f ca="1">IFERROR(IF(Loan_Not_Paid*Values_Entered,Ending_Balance,""), "")</f>
        <v>1776.0779259073606</v>
      </c>
      <c r="I129" s="25"/>
      <c r="J129" s="25"/>
      <c r="K129" s="25"/>
      <c r="L129" s="25"/>
      <c r="M129" s="25"/>
      <c r="N129" s="25"/>
      <c r="O129" s="25"/>
      <c r="P129" s="25"/>
      <c r="Q129" s="25"/>
      <c r="R129" s="25"/>
      <c r="S129" s="25"/>
      <c r="T129" s="25"/>
      <c r="U129" s="25"/>
      <c r="V129" s="25"/>
      <c r="W129" s="25"/>
      <c r="X129" s="25"/>
      <c r="Y129" s="25"/>
      <c r="Z129" s="25"/>
      <c r="AA129" s="25"/>
      <c r="AB129" s="25"/>
      <c r="AC129" s="25"/>
      <c r="AD129" s="25"/>
      <c r="AE129" s="25"/>
      <c r="AF129" s="25"/>
      <c r="AG129" s="25"/>
    </row>
    <row r="130" spans="1:33" ht="14.5">
      <c r="A130" s="78">
        <f ca="1">IFERROR(IF(Loan_Not_Paid*Values_Entered,Payment_Number,""), "")</f>
        <v>117</v>
      </c>
      <c r="B130" s="79">
        <f ca="1">IFERROR(IF(Loan_Not_Paid*Values_Entered,Payment_Date,""), "")</f>
        <v>49319</v>
      </c>
      <c r="C130" s="80">
        <f ca="1">IFERROR(IF(Loan_Not_Paid*Values_Entered,Beginning_Balance,""), "")</f>
        <v>1776.0779259073606</v>
      </c>
      <c r="D130" s="80">
        <f ca="1">IFERROR(IF(Loan_Not_Paid*Values_Entered,Monthly_Payment,""), "")</f>
        <v>466.67608947837732</v>
      </c>
      <c r="E130" s="80">
        <f ca="1">IFERROR(IF(Loan_Not_Paid*Values_Entered,Principal,""), "")</f>
        <v>430.78451472566366</v>
      </c>
      <c r="F130" s="80">
        <f ca="1">IFERROR(IF(Loan_Not_Paid*Values_Entered,Interest,""), "")</f>
        <v>35.89157475271368</v>
      </c>
      <c r="G130" s="80">
        <f ca="1">IFERROR(IF(Loan_Not_Paid*Values_Entered,Ending_Balance,""), "")</f>
        <v>1345.2934111817158</v>
      </c>
      <c r="I130" s="25"/>
      <c r="J130" s="25"/>
      <c r="K130" s="25"/>
      <c r="L130" s="25"/>
      <c r="M130" s="25"/>
      <c r="N130" s="25"/>
      <c r="O130" s="25"/>
      <c r="P130" s="25"/>
      <c r="Q130" s="25"/>
      <c r="R130" s="25"/>
      <c r="S130" s="25"/>
      <c r="T130" s="25"/>
      <c r="U130" s="25"/>
      <c r="V130" s="25"/>
      <c r="W130" s="25"/>
      <c r="X130" s="25"/>
      <c r="Y130" s="25"/>
      <c r="Z130" s="25"/>
      <c r="AA130" s="25"/>
      <c r="AB130" s="25"/>
      <c r="AC130" s="25"/>
      <c r="AD130" s="25"/>
      <c r="AE130" s="25"/>
      <c r="AF130" s="25"/>
      <c r="AG130" s="25"/>
    </row>
    <row r="131" spans="1:33" ht="14.5">
      <c r="A131" s="78">
        <f ca="1">IFERROR(IF(Loan_Not_Paid*Values_Entered,Payment_Number,""), "")</f>
        <v>118</v>
      </c>
      <c r="B131" s="79">
        <f ca="1">IFERROR(IF(Loan_Not_Paid*Values_Entered,Payment_Date,""), "")</f>
        <v>49350</v>
      </c>
      <c r="C131" s="80">
        <f ca="1">IFERROR(IF(Loan_Not_Paid*Values_Entered,Beginning_Balance,""), "")</f>
        <v>1345.2934111817158</v>
      </c>
      <c r="D131" s="80">
        <f ca="1">IFERROR(IF(Loan_Not_Paid*Values_Entered,Monthly_Payment,""), "")</f>
        <v>466.67608947837732</v>
      </c>
      <c r="E131" s="80">
        <f ca="1">IFERROR(IF(Loan_Not_Paid*Values_Entered,Principal,""), "")</f>
        <v>439.48995179407808</v>
      </c>
      <c r="F131" s="80">
        <f ca="1">IFERROR(IF(Loan_Not_Paid*Values_Entered,Interest,""), "")</f>
        <v>27.186137684299233</v>
      </c>
      <c r="G131" s="80">
        <f ca="1">IFERROR(IF(Loan_Not_Paid*Values_Entered,Ending_Balance,""), "")</f>
        <v>905.80345938759274</v>
      </c>
      <c r="I131" s="25"/>
      <c r="J131" s="25"/>
      <c r="K131" s="25"/>
      <c r="L131" s="25"/>
      <c r="M131" s="25"/>
      <c r="N131" s="25"/>
      <c r="O131" s="25"/>
      <c r="P131" s="25"/>
      <c r="Q131" s="25"/>
      <c r="R131" s="25"/>
      <c r="S131" s="25"/>
      <c r="T131" s="25"/>
      <c r="U131" s="25"/>
      <c r="V131" s="25"/>
      <c r="W131" s="25"/>
      <c r="X131" s="25"/>
      <c r="Y131" s="25"/>
      <c r="Z131" s="25"/>
      <c r="AA131" s="25"/>
      <c r="AB131" s="25"/>
      <c r="AC131" s="25"/>
      <c r="AD131" s="25"/>
      <c r="AE131" s="25"/>
      <c r="AF131" s="25"/>
      <c r="AG131" s="25"/>
    </row>
    <row r="132" spans="1:33" ht="14.5">
      <c r="A132" s="78">
        <f ca="1">IFERROR(IF(Loan_Not_Paid*Values_Entered,Payment_Number,""), "")</f>
        <v>119</v>
      </c>
      <c r="B132" s="79">
        <f ca="1">IFERROR(IF(Loan_Not_Paid*Values_Entered,Payment_Date,""), "")</f>
        <v>49378</v>
      </c>
      <c r="C132" s="80">
        <f ca="1">IFERROR(IF(Loan_Not_Paid*Values_Entered,Beginning_Balance,""), "")</f>
        <v>905.80345938759274</v>
      </c>
      <c r="D132" s="80">
        <f ca="1">IFERROR(IF(Loan_Not_Paid*Values_Entered,Monthly_Payment,""), "")</f>
        <v>466.67608947837732</v>
      </c>
      <c r="E132" s="80">
        <f ca="1">IFERROR(IF(Loan_Not_Paid*Values_Entered,Principal,""), "")</f>
        <v>448.37131123658344</v>
      </c>
      <c r="F132" s="80">
        <f ca="1">IFERROR(IF(Loan_Not_Paid*Values_Entered,Interest,""), "")</f>
        <v>18.304778241793901</v>
      </c>
      <c r="G132" s="80">
        <f ca="1">IFERROR(IF(Loan_Not_Paid*Values_Entered,Ending_Balance,""), "")</f>
        <v>457.43214815101237</v>
      </c>
      <c r="I132" s="25"/>
      <c r="J132" s="25"/>
      <c r="K132" s="25"/>
      <c r="L132" s="25"/>
      <c r="M132" s="25"/>
      <c r="N132" s="25"/>
      <c r="O132" s="25"/>
      <c r="P132" s="25"/>
      <c r="Q132" s="25"/>
      <c r="R132" s="25"/>
      <c r="S132" s="25"/>
      <c r="T132" s="25"/>
      <c r="U132" s="25"/>
      <c r="V132" s="25"/>
      <c r="W132" s="25"/>
      <c r="X132" s="25"/>
      <c r="Y132" s="25"/>
      <c r="Z132" s="25"/>
      <c r="AA132" s="25"/>
      <c r="AB132" s="25"/>
      <c r="AC132" s="25"/>
      <c r="AD132" s="25"/>
      <c r="AE132" s="25"/>
      <c r="AF132" s="25"/>
      <c r="AG132" s="25"/>
    </row>
    <row r="133" spans="1:33" ht="14.5">
      <c r="A133" s="78">
        <f ca="1">IFERROR(IF(Loan_Not_Paid*Values_Entered,Payment_Number,""), "")</f>
        <v>120</v>
      </c>
      <c r="B133" s="79">
        <f ca="1">IFERROR(IF(Loan_Not_Paid*Values_Entered,Payment_Date,""), "")</f>
        <v>49409</v>
      </c>
      <c r="C133" s="80">
        <f ca="1">IFERROR(IF(Loan_Not_Paid*Values_Entered,Beginning_Balance,""), "")</f>
        <v>457.43214815101237</v>
      </c>
      <c r="D133" s="80">
        <f ca="1">IFERROR(IF(Loan_Not_Paid*Values_Entered,Monthly_Payment,""), "")</f>
        <v>466.67608947837732</v>
      </c>
      <c r="E133" s="80">
        <f ca="1">IFERROR(IF(Loan_Not_Paid*Values_Entered,Principal,""), "")</f>
        <v>457.43214815115601</v>
      </c>
      <c r="F133" s="80">
        <f ca="1">IFERROR(IF(Loan_Not_Paid*Values_Entered,Interest,""), "")</f>
        <v>9.2439413272212771</v>
      </c>
      <c r="G133" s="80">
        <f ca="1">IFERROR(IF(Loan_Not_Paid*Values_Entered,Ending_Balance,""), "")</f>
        <v>-1.1641532182693481E-10</v>
      </c>
      <c r="I133" s="25"/>
      <c r="J133" s="25"/>
      <c r="K133" s="25"/>
      <c r="L133" s="25"/>
      <c r="M133" s="25"/>
      <c r="N133" s="25"/>
      <c r="O133" s="25"/>
      <c r="P133" s="25"/>
      <c r="Q133" s="25"/>
      <c r="R133" s="25"/>
      <c r="S133" s="25"/>
      <c r="T133" s="25"/>
      <c r="U133" s="25"/>
      <c r="V133" s="25"/>
      <c r="W133" s="25"/>
      <c r="X133" s="25"/>
      <c r="Y133" s="25"/>
      <c r="Z133" s="25"/>
      <c r="AA133" s="25"/>
      <c r="AB133" s="25"/>
      <c r="AC133" s="25"/>
      <c r="AD133" s="25"/>
      <c r="AE133" s="25"/>
      <c r="AF133" s="25"/>
      <c r="AG133" s="25"/>
    </row>
    <row r="134" spans="1:33">
      <c r="A134" s="21" t="str">
        <f ca="1">IFERROR(IF(Loan_Not_Paid*Values_Entered,Payment_Number,""), "")</f>
        <v/>
      </c>
      <c r="B134" s="22" t="str">
        <f ca="1">IFERROR(IF(Loan_Not_Paid*Values_Entered,Payment_Date,""), "")</f>
        <v/>
      </c>
      <c r="C134" s="23" t="str">
        <f ca="1">IFERROR(IF(Loan_Not_Paid*Values_Entered,Beginning_Balance,""), "")</f>
        <v/>
      </c>
      <c r="D134" s="23" t="str">
        <f ca="1">IFERROR(IF(Loan_Not_Paid*Values_Entered,Monthly_Payment,""), "")</f>
        <v/>
      </c>
      <c r="E134" s="23" t="str">
        <f ca="1">IFERROR(IF(Loan_Not_Paid*Values_Entered,Principal,""), "")</f>
        <v/>
      </c>
      <c r="F134" s="23" t="str">
        <f ca="1">IFERROR(IF(Loan_Not_Paid*Values_Entered,Interest,""), "")</f>
        <v/>
      </c>
      <c r="G134" s="23" t="str">
        <f ca="1">IFERROR(IF(Loan_Not_Paid*Values_Entered,Ending_Balance,""), "")</f>
        <v/>
      </c>
      <c r="I134" s="25"/>
      <c r="J134" s="25"/>
      <c r="K134" s="25"/>
      <c r="L134" s="25"/>
      <c r="M134" s="25"/>
      <c r="N134" s="25"/>
      <c r="O134" s="25"/>
      <c r="P134" s="25"/>
      <c r="Q134" s="25"/>
      <c r="R134" s="25"/>
      <c r="S134" s="25"/>
      <c r="T134" s="25"/>
      <c r="U134" s="25"/>
      <c r="V134" s="25"/>
      <c r="W134" s="25"/>
      <c r="X134" s="25"/>
      <c r="Y134" s="25"/>
      <c r="Z134" s="25"/>
      <c r="AA134" s="25"/>
      <c r="AB134" s="25"/>
      <c r="AC134" s="25"/>
      <c r="AD134" s="25"/>
      <c r="AE134" s="25"/>
      <c r="AF134" s="25"/>
      <c r="AG134" s="25"/>
    </row>
    <row r="135" spans="1:33">
      <c r="A135" s="21" t="str">
        <f ca="1">IFERROR(IF(Loan_Not_Paid*Values_Entered,Payment_Number,""), "")</f>
        <v/>
      </c>
      <c r="B135" s="22" t="str">
        <f ca="1">IFERROR(IF(Loan_Not_Paid*Values_Entered,Payment_Date,""), "")</f>
        <v/>
      </c>
      <c r="C135" s="23" t="str">
        <f ca="1">IFERROR(IF(Loan_Not_Paid*Values_Entered,Beginning_Balance,""), "")</f>
        <v/>
      </c>
      <c r="D135" s="23" t="str">
        <f ca="1">IFERROR(IF(Loan_Not_Paid*Values_Entered,Monthly_Payment,""), "")</f>
        <v/>
      </c>
      <c r="E135" s="23" t="str">
        <f ca="1">IFERROR(IF(Loan_Not_Paid*Values_Entered,Principal,""), "")</f>
        <v/>
      </c>
      <c r="F135" s="23" t="str">
        <f ca="1">IFERROR(IF(Loan_Not_Paid*Values_Entered,Interest,""), "")</f>
        <v/>
      </c>
      <c r="G135" s="23" t="str">
        <f ca="1">IFERROR(IF(Loan_Not_Paid*Values_Entered,Ending_Balance,""), "")</f>
        <v/>
      </c>
      <c r="I135" s="25"/>
      <c r="J135" s="25"/>
      <c r="K135" s="25"/>
      <c r="L135" s="25"/>
      <c r="M135" s="25"/>
      <c r="N135" s="25"/>
      <c r="O135" s="25"/>
      <c r="P135" s="25"/>
      <c r="Q135" s="25"/>
      <c r="R135" s="25"/>
      <c r="S135" s="25"/>
      <c r="T135" s="25"/>
      <c r="U135" s="25"/>
      <c r="V135" s="25"/>
      <c r="W135" s="25"/>
      <c r="X135" s="25"/>
      <c r="Y135" s="25"/>
      <c r="Z135" s="25"/>
      <c r="AA135" s="25"/>
      <c r="AB135" s="25"/>
      <c r="AC135" s="25"/>
      <c r="AD135" s="25"/>
      <c r="AE135" s="25"/>
      <c r="AF135" s="25"/>
      <c r="AG135" s="25"/>
    </row>
    <row r="136" spans="1:33">
      <c r="A136" s="21" t="str">
        <f ca="1">IFERROR(IF(Loan_Not_Paid*Values_Entered,Payment_Number,""), "")</f>
        <v/>
      </c>
      <c r="B136" s="22" t="str">
        <f ca="1">IFERROR(IF(Loan_Not_Paid*Values_Entered,Payment_Date,""), "")</f>
        <v/>
      </c>
      <c r="C136" s="23" t="str">
        <f ca="1">IFERROR(IF(Loan_Not_Paid*Values_Entered,Beginning_Balance,""), "")</f>
        <v/>
      </c>
      <c r="D136" s="23" t="str">
        <f ca="1">IFERROR(IF(Loan_Not_Paid*Values_Entered,Monthly_Payment,""), "")</f>
        <v/>
      </c>
      <c r="E136" s="23" t="str">
        <f ca="1">IFERROR(IF(Loan_Not_Paid*Values_Entered,Principal,""), "")</f>
        <v/>
      </c>
      <c r="F136" s="23" t="str">
        <f ca="1">IFERROR(IF(Loan_Not_Paid*Values_Entered,Interest,""), "")</f>
        <v/>
      </c>
      <c r="G136" s="23" t="str">
        <f ca="1">IFERROR(IF(Loan_Not_Paid*Values_Entered,Ending_Balance,""), "")</f>
        <v/>
      </c>
      <c r="I136" s="25"/>
      <c r="J136" s="25"/>
      <c r="K136" s="25"/>
      <c r="L136" s="25"/>
      <c r="M136" s="25"/>
      <c r="N136" s="25"/>
      <c r="O136" s="25"/>
      <c r="P136" s="25"/>
      <c r="Q136" s="25"/>
      <c r="R136" s="25"/>
      <c r="S136" s="25"/>
      <c r="T136" s="25"/>
      <c r="U136" s="25"/>
      <c r="V136" s="25"/>
      <c r="W136" s="25"/>
      <c r="X136" s="25"/>
      <c r="Y136" s="25"/>
      <c r="Z136" s="25"/>
      <c r="AA136" s="25"/>
      <c r="AB136" s="25"/>
      <c r="AC136" s="25"/>
      <c r="AD136" s="25"/>
      <c r="AE136" s="25"/>
      <c r="AF136" s="25"/>
      <c r="AG136" s="25"/>
    </row>
    <row r="137" spans="1:33">
      <c r="A137" s="21" t="str">
        <f ca="1">IFERROR(IF(Loan_Not_Paid*Values_Entered,Payment_Number,""), "")</f>
        <v/>
      </c>
      <c r="B137" s="22" t="str">
        <f ca="1">IFERROR(IF(Loan_Not_Paid*Values_Entered,Payment_Date,""), "")</f>
        <v/>
      </c>
      <c r="C137" s="23" t="str">
        <f ca="1">IFERROR(IF(Loan_Not_Paid*Values_Entered,Beginning_Balance,""), "")</f>
        <v/>
      </c>
      <c r="D137" s="23" t="str">
        <f ca="1">IFERROR(IF(Loan_Not_Paid*Values_Entered,Monthly_Payment,""), "")</f>
        <v/>
      </c>
      <c r="E137" s="23" t="str">
        <f ca="1">IFERROR(IF(Loan_Not_Paid*Values_Entered,Principal,""), "")</f>
        <v/>
      </c>
      <c r="F137" s="23" t="str">
        <f ca="1">IFERROR(IF(Loan_Not_Paid*Values_Entered,Interest,""), "")</f>
        <v/>
      </c>
      <c r="G137" s="23" t="str">
        <f ca="1">IFERROR(IF(Loan_Not_Paid*Values_Entered,Ending_Balance,""), "")</f>
        <v/>
      </c>
      <c r="I137" s="25"/>
      <c r="J137" s="25"/>
      <c r="K137" s="25"/>
      <c r="L137" s="25"/>
      <c r="M137" s="25"/>
      <c r="N137" s="25"/>
      <c r="O137" s="25"/>
      <c r="P137" s="25"/>
      <c r="Q137" s="25"/>
      <c r="R137" s="25"/>
      <c r="S137" s="25"/>
      <c r="T137" s="25"/>
      <c r="U137" s="25"/>
      <c r="V137" s="25"/>
      <c r="W137" s="25"/>
      <c r="X137" s="25"/>
      <c r="Y137" s="25"/>
      <c r="Z137" s="25"/>
      <c r="AA137" s="25"/>
      <c r="AB137" s="25"/>
      <c r="AC137" s="25"/>
      <c r="AD137" s="25"/>
      <c r="AE137" s="25"/>
      <c r="AF137" s="25"/>
      <c r="AG137" s="25"/>
    </row>
    <row r="138" spans="1:33">
      <c r="A138" s="21" t="str">
        <f ca="1">IFERROR(IF(Loan_Not_Paid*Values_Entered,Payment_Number,""), "")</f>
        <v/>
      </c>
      <c r="B138" s="22" t="str">
        <f ca="1">IFERROR(IF(Loan_Not_Paid*Values_Entered,Payment_Date,""), "")</f>
        <v/>
      </c>
      <c r="C138" s="23" t="str">
        <f ca="1">IFERROR(IF(Loan_Not_Paid*Values_Entered,Beginning_Balance,""), "")</f>
        <v/>
      </c>
      <c r="D138" s="23" t="str">
        <f ca="1">IFERROR(IF(Loan_Not_Paid*Values_Entered,Monthly_Payment,""), "")</f>
        <v/>
      </c>
      <c r="E138" s="23" t="str">
        <f ca="1">IFERROR(IF(Loan_Not_Paid*Values_Entered,Principal,""), "")</f>
        <v/>
      </c>
      <c r="F138" s="23" t="str">
        <f ca="1">IFERROR(IF(Loan_Not_Paid*Values_Entered,Interest,""), "")</f>
        <v/>
      </c>
      <c r="G138" s="23" t="str">
        <f ca="1">IFERROR(IF(Loan_Not_Paid*Values_Entered,Ending_Balance,""), "")</f>
        <v/>
      </c>
      <c r="I138" s="25"/>
      <c r="J138" s="25"/>
      <c r="K138" s="25"/>
      <c r="L138" s="25"/>
      <c r="M138" s="25"/>
      <c r="N138" s="25"/>
      <c r="O138" s="25"/>
      <c r="P138" s="25"/>
      <c r="Q138" s="25"/>
      <c r="R138" s="25"/>
      <c r="S138" s="25"/>
      <c r="T138" s="25"/>
      <c r="U138" s="25"/>
      <c r="V138" s="25"/>
      <c r="W138" s="25"/>
      <c r="X138" s="25"/>
      <c r="Y138" s="25"/>
      <c r="Z138" s="25"/>
      <c r="AA138" s="25"/>
      <c r="AB138" s="25"/>
      <c r="AC138" s="25"/>
      <c r="AD138" s="25"/>
      <c r="AE138" s="25"/>
      <c r="AF138" s="25"/>
      <c r="AG138" s="25"/>
    </row>
    <row r="139" spans="1:33">
      <c r="A139" s="21" t="str">
        <f ca="1">IFERROR(IF(Loan_Not_Paid*Values_Entered,Payment_Number,""), "")</f>
        <v/>
      </c>
      <c r="B139" s="22" t="str">
        <f ca="1">IFERROR(IF(Loan_Not_Paid*Values_Entered,Payment_Date,""), "")</f>
        <v/>
      </c>
      <c r="C139" s="23" t="str">
        <f ca="1">IFERROR(IF(Loan_Not_Paid*Values_Entered,Beginning_Balance,""), "")</f>
        <v/>
      </c>
      <c r="D139" s="23" t="str">
        <f ca="1">IFERROR(IF(Loan_Not_Paid*Values_Entered,Monthly_Payment,""), "")</f>
        <v/>
      </c>
      <c r="E139" s="23" t="str">
        <f ca="1">IFERROR(IF(Loan_Not_Paid*Values_Entered,Principal,""), "")</f>
        <v/>
      </c>
      <c r="F139" s="23" t="str">
        <f ca="1">IFERROR(IF(Loan_Not_Paid*Values_Entered,Interest,""), "")</f>
        <v/>
      </c>
      <c r="G139" s="23" t="str">
        <f ca="1">IFERROR(IF(Loan_Not_Paid*Values_Entered,Ending_Balance,""), "")</f>
        <v/>
      </c>
      <c r="I139" s="25"/>
      <c r="J139" s="25"/>
      <c r="K139" s="25"/>
      <c r="L139" s="25"/>
      <c r="M139" s="25"/>
      <c r="N139" s="25"/>
      <c r="O139" s="25"/>
      <c r="P139" s="25"/>
      <c r="Q139" s="25"/>
      <c r="R139" s="25"/>
      <c r="S139" s="25"/>
      <c r="T139" s="25"/>
      <c r="U139" s="25"/>
      <c r="V139" s="25"/>
      <c r="W139" s="25"/>
      <c r="X139" s="25"/>
      <c r="Y139" s="25"/>
      <c r="Z139" s="25"/>
      <c r="AA139" s="25"/>
      <c r="AB139" s="25"/>
      <c r="AC139" s="25"/>
      <c r="AD139" s="25"/>
      <c r="AE139" s="25"/>
      <c r="AF139" s="25"/>
      <c r="AG139" s="25"/>
    </row>
    <row r="140" spans="1:33">
      <c r="A140" s="21" t="str">
        <f ca="1">IFERROR(IF(Loan_Not_Paid*Values_Entered,Payment_Number,""), "")</f>
        <v/>
      </c>
      <c r="B140" s="22" t="str">
        <f ca="1">IFERROR(IF(Loan_Not_Paid*Values_Entered,Payment_Date,""), "")</f>
        <v/>
      </c>
      <c r="C140" s="23" t="str">
        <f ca="1">IFERROR(IF(Loan_Not_Paid*Values_Entered,Beginning_Balance,""), "")</f>
        <v/>
      </c>
      <c r="D140" s="23" t="str">
        <f ca="1">IFERROR(IF(Loan_Not_Paid*Values_Entered,Monthly_Payment,""), "")</f>
        <v/>
      </c>
      <c r="E140" s="23" t="str">
        <f ca="1">IFERROR(IF(Loan_Not_Paid*Values_Entered,Principal,""), "")</f>
        <v/>
      </c>
      <c r="F140" s="23" t="str">
        <f ca="1">IFERROR(IF(Loan_Not_Paid*Values_Entered,Interest,""), "")</f>
        <v/>
      </c>
      <c r="G140" s="23" t="str">
        <f ca="1">IFERROR(IF(Loan_Not_Paid*Values_Entered,Ending_Balance,""), "")</f>
        <v/>
      </c>
      <c r="I140" s="25"/>
      <c r="J140" s="25"/>
      <c r="K140" s="25"/>
      <c r="L140" s="25"/>
      <c r="M140" s="25"/>
      <c r="N140" s="25"/>
      <c r="O140" s="25"/>
      <c r="P140" s="25"/>
      <c r="Q140" s="25"/>
      <c r="R140" s="25"/>
      <c r="S140" s="25"/>
      <c r="T140" s="25"/>
      <c r="U140" s="25"/>
      <c r="V140" s="25"/>
      <c r="W140" s="25"/>
      <c r="X140" s="25"/>
      <c r="Y140" s="25"/>
      <c r="Z140" s="25"/>
      <c r="AA140" s="25"/>
      <c r="AB140" s="25"/>
      <c r="AC140" s="25"/>
      <c r="AD140" s="25"/>
      <c r="AE140" s="25"/>
      <c r="AF140" s="25"/>
      <c r="AG140" s="25"/>
    </row>
    <row r="141" spans="1:33">
      <c r="A141" s="21" t="str">
        <f ca="1">IFERROR(IF(Loan_Not_Paid*Values_Entered,Payment_Number,""), "")</f>
        <v/>
      </c>
      <c r="B141" s="22" t="str">
        <f ca="1">IFERROR(IF(Loan_Not_Paid*Values_Entered,Payment_Date,""), "")</f>
        <v/>
      </c>
      <c r="C141" s="23" t="str">
        <f ca="1">IFERROR(IF(Loan_Not_Paid*Values_Entered,Beginning_Balance,""), "")</f>
        <v/>
      </c>
      <c r="D141" s="23" t="str">
        <f ca="1">IFERROR(IF(Loan_Not_Paid*Values_Entered,Monthly_Payment,""), "")</f>
        <v/>
      </c>
      <c r="E141" s="23" t="str">
        <f ca="1">IFERROR(IF(Loan_Not_Paid*Values_Entered,Principal,""), "")</f>
        <v/>
      </c>
      <c r="F141" s="23" t="str">
        <f ca="1">IFERROR(IF(Loan_Not_Paid*Values_Entered,Interest,""), "")</f>
        <v/>
      </c>
      <c r="G141" s="23" t="str">
        <f ca="1">IFERROR(IF(Loan_Not_Paid*Values_Entered,Ending_Balance,""), "")</f>
        <v/>
      </c>
      <c r="I141" s="25"/>
      <c r="J141" s="25"/>
      <c r="K141" s="25"/>
      <c r="L141" s="25"/>
      <c r="M141" s="25"/>
      <c r="N141" s="25"/>
      <c r="O141" s="25"/>
      <c r="P141" s="25"/>
      <c r="Q141" s="25"/>
      <c r="R141" s="25"/>
      <c r="S141" s="25"/>
      <c r="T141" s="25"/>
      <c r="U141" s="25"/>
      <c r="V141" s="25"/>
      <c r="W141" s="25"/>
      <c r="X141" s="25"/>
      <c r="Y141" s="25"/>
      <c r="Z141" s="25"/>
      <c r="AA141" s="25"/>
      <c r="AB141" s="25"/>
      <c r="AC141" s="25"/>
      <c r="AD141" s="25"/>
      <c r="AE141" s="25"/>
      <c r="AF141" s="25"/>
      <c r="AG141" s="25"/>
    </row>
    <row r="142" spans="1:33">
      <c r="A142" s="21" t="str">
        <f ca="1">IFERROR(IF(Loan_Not_Paid*Values_Entered,Payment_Number,""), "")</f>
        <v/>
      </c>
      <c r="B142" s="22" t="str">
        <f ca="1">IFERROR(IF(Loan_Not_Paid*Values_Entered,Payment_Date,""), "")</f>
        <v/>
      </c>
      <c r="C142" s="23" t="str">
        <f ca="1">IFERROR(IF(Loan_Not_Paid*Values_Entered,Beginning_Balance,""), "")</f>
        <v/>
      </c>
      <c r="D142" s="23" t="str">
        <f ca="1">IFERROR(IF(Loan_Not_Paid*Values_Entered,Monthly_Payment,""), "")</f>
        <v/>
      </c>
      <c r="E142" s="23" t="str">
        <f ca="1">IFERROR(IF(Loan_Not_Paid*Values_Entered,Principal,""), "")</f>
        <v/>
      </c>
      <c r="F142" s="23" t="str">
        <f ca="1">IFERROR(IF(Loan_Not_Paid*Values_Entered,Interest,""), "")</f>
        <v/>
      </c>
      <c r="G142" s="23" t="str">
        <f ca="1">IFERROR(IF(Loan_Not_Paid*Values_Entered,Ending_Balance,""), "")</f>
        <v/>
      </c>
      <c r="I142" s="25"/>
      <c r="J142" s="25"/>
      <c r="K142" s="25"/>
      <c r="L142" s="25"/>
      <c r="M142" s="25"/>
      <c r="N142" s="25"/>
      <c r="O142" s="25"/>
      <c r="P142" s="25"/>
      <c r="Q142" s="25"/>
      <c r="R142" s="25"/>
      <c r="S142" s="25"/>
      <c r="T142" s="25"/>
      <c r="U142" s="25"/>
      <c r="V142" s="25"/>
      <c r="W142" s="25"/>
      <c r="X142" s="25"/>
      <c r="Y142" s="25"/>
      <c r="Z142" s="25"/>
      <c r="AA142" s="25"/>
      <c r="AB142" s="25"/>
      <c r="AC142" s="25"/>
      <c r="AD142" s="25"/>
      <c r="AE142" s="25"/>
      <c r="AF142" s="25"/>
      <c r="AG142" s="25"/>
    </row>
    <row r="143" spans="1:33">
      <c r="A143" s="21" t="str">
        <f ca="1">IFERROR(IF(Loan_Not_Paid*Values_Entered,Payment_Number,""), "")</f>
        <v/>
      </c>
      <c r="B143" s="22" t="str">
        <f ca="1">IFERROR(IF(Loan_Not_Paid*Values_Entered,Payment_Date,""), "")</f>
        <v/>
      </c>
      <c r="C143" s="23" t="str">
        <f ca="1">IFERROR(IF(Loan_Not_Paid*Values_Entered,Beginning_Balance,""), "")</f>
        <v/>
      </c>
      <c r="D143" s="23" t="str">
        <f ca="1">IFERROR(IF(Loan_Not_Paid*Values_Entered,Monthly_Payment,""), "")</f>
        <v/>
      </c>
      <c r="E143" s="23" t="str">
        <f ca="1">IFERROR(IF(Loan_Not_Paid*Values_Entered,Principal,""), "")</f>
        <v/>
      </c>
      <c r="F143" s="23" t="str">
        <f ca="1">IFERROR(IF(Loan_Not_Paid*Values_Entered,Interest,""), "")</f>
        <v/>
      </c>
      <c r="G143" s="23" t="str">
        <f ca="1">IFERROR(IF(Loan_Not_Paid*Values_Entered,Ending_Balance,""), "")</f>
        <v/>
      </c>
      <c r="I143" s="25"/>
      <c r="J143" s="25"/>
      <c r="K143" s="25"/>
      <c r="L143" s="25"/>
      <c r="M143" s="25"/>
      <c r="N143" s="25"/>
      <c r="O143" s="25"/>
      <c r="P143" s="25"/>
      <c r="Q143" s="25"/>
      <c r="R143" s="25"/>
      <c r="S143" s="25"/>
      <c r="T143" s="25"/>
      <c r="U143" s="25"/>
      <c r="V143" s="25"/>
      <c r="W143" s="25"/>
      <c r="X143" s="25"/>
      <c r="Y143" s="25"/>
      <c r="Z143" s="25"/>
      <c r="AA143" s="25"/>
      <c r="AB143" s="25"/>
      <c r="AC143" s="25"/>
      <c r="AD143" s="25"/>
      <c r="AE143" s="25"/>
      <c r="AF143" s="25"/>
      <c r="AG143" s="25"/>
    </row>
    <row r="144" spans="1:33">
      <c r="A144" s="21" t="str">
        <f ca="1">IFERROR(IF(Loan_Not_Paid*Values_Entered,Payment_Number,""), "")</f>
        <v/>
      </c>
      <c r="B144" s="22" t="str">
        <f ca="1">IFERROR(IF(Loan_Not_Paid*Values_Entered,Payment_Date,""), "")</f>
        <v/>
      </c>
      <c r="C144" s="23" t="str">
        <f ca="1">IFERROR(IF(Loan_Not_Paid*Values_Entered,Beginning_Balance,""), "")</f>
        <v/>
      </c>
      <c r="D144" s="23" t="str">
        <f ca="1">IFERROR(IF(Loan_Not_Paid*Values_Entered,Monthly_Payment,""), "")</f>
        <v/>
      </c>
      <c r="E144" s="23" t="str">
        <f ca="1">IFERROR(IF(Loan_Not_Paid*Values_Entered,Principal,""), "")</f>
        <v/>
      </c>
      <c r="F144" s="23" t="str">
        <f ca="1">IFERROR(IF(Loan_Not_Paid*Values_Entered,Interest,""), "")</f>
        <v/>
      </c>
      <c r="G144" s="23" t="str">
        <f ca="1">IFERROR(IF(Loan_Not_Paid*Values_Entered,Ending_Balance,""), "")</f>
        <v/>
      </c>
      <c r="I144" s="25"/>
      <c r="J144" s="25"/>
      <c r="K144" s="25"/>
      <c r="L144" s="25"/>
      <c r="M144" s="25"/>
      <c r="N144" s="25"/>
      <c r="O144" s="25"/>
      <c r="P144" s="25"/>
      <c r="Q144" s="25"/>
      <c r="R144" s="25"/>
      <c r="S144" s="25"/>
      <c r="T144" s="25"/>
      <c r="U144" s="25"/>
      <c r="V144" s="25"/>
      <c r="W144" s="25"/>
      <c r="X144" s="25"/>
      <c r="Y144" s="25"/>
      <c r="Z144" s="25"/>
      <c r="AA144" s="25"/>
      <c r="AB144" s="25"/>
      <c r="AC144" s="25"/>
      <c r="AD144" s="25"/>
      <c r="AE144" s="25"/>
      <c r="AF144" s="25"/>
      <c r="AG144" s="25"/>
    </row>
    <row r="145" spans="1:33">
      <c r="A145" s="21" t="str">
        <f ca="1">IFERROR(IF(Loan_Not_Paid*Values_Entered,Payment_Number,""), "")</f>
        <v/>
      </c>
      <c r="B145" s="22" t="str">
        <f ca="1">IFERROR(IF(Loan_Not_Paid*Values_Entered,Payment_Date,""), "")</f>
        <v/>
      </c>
      <c r="C145" s="23" t="str">
        <f ca="1">IFERROR(IF(Loan_Not_Paid*Values_Entered,Beginning_Balance,""), "")</f>
        <v/>
      </c>
      <c r="D145" s="23" t="str">
        <f ca="1">IFERROR(IF(Loan_Not_Paid*Values_Entered,Monthly_Payment,""), "")</f>
        <v/>
      </c>
      <c r="E145" s="23" t="str">
        <f ca="1">IFERROR(IF(Loan_Not_Paid*Values_Entered,Principal,""), "")</f>
        <v/>
      </c>
      <c r="F145" s="23" t="str">
        <f ca="1">IFERROR(IF(Loan_Not_Paid*Values_Entered,Interest,""), "")</f>
        <v/>
      </c>
      <c r="G145" s="23" t="str">
        <f ca="1">IFERROR(IF(Loan_Not_Paid*Values_Entered,Ending_Balance,""), "")</f>
        <v/>
      </c>
      <c r="I145" s="25"/>
      <c r="J145" s="25"/>
      <c r="K145" s="25"/>
      <c r="L145" s="25"/>
      <c r="M145" s="25"/>
      <c r="N145" s="25"/>
      <c r="O145" s="25"/>
      <c r="P145" s="25"/>
      <c r="Q145" s="25"/>
      <c r="R145" s="25"/>
      <c r="S145" s="25"/>
      <c r="T145" s="25"/>
      <c r="U145" s="25"/>
      <c r="V145" s="25"/>
      <c r="W145" s="25"/>
      <c r="X145" s="25"/>
      <c r="Y145" s="25"/>
      <c r="Z145" s="25"/>
      <c r="AA145" s="25"/>
      <c r="AB145" s="25"/>
      <c r="AC145" s="25"/>
      <c r="AD145" s="25"/>
      <c r="AE145" s="25"/>
      <c r="AF145" s="25"/>
      <c r="AG145" s="25"/>
    </row>
    <row r="146" spans="1:33">
      <c r="A146" s="21" t="str">
        <f ca="1">IFERROR(IF(Loan_Not_Paid*Values_Entered,Payment_Number,""), "")</f>
        <v/>
      </c>
      <c r="B146" s="22" t="str">
        <f ca="1">IFERROR(IF(Loan_Not_Paid*Values_Entered,Payment_Date,""), "")</f>
        <v/>
      </c>
      <c r="C146" s="23" t="str">
        <f ca="1">IFERROR(IF(Loan_Not_Paid*Values_Entered,Beginning_Balance,""), "")</f>
        <v/>
      </c>
      <c r="D146" s="23" t="str">
        <f ca="1">IFERROR(IF(Loan_Not_Paid*Values_Entered,Monthly_Payment,""), "")</f>
        <v/>
      </c>
      <c r="E146" s="23" t="str">
        <f ca="1">IFERROR(IF(Loan_Not_Paid*Values_Entered,Principal,""), "")</f>
        <v/>
      </c>
      <c r="F146" s="23" t="str">
        <f ca="1">IFERROR(IF(Loan_Not_Paid*Values_Entered,Interest,""), "")</f>
        <v/>
      </c>
      <c r="G146" s="23" t="str">
        <f ca="1">IFERROR(IF(Loan_Not_Paid*Values_Entered,Ending_Balance,""), "")</f>
        <v/>
      </c>
      <c r="I146" s="25"/>
      <c r="J146" s="25"/>
      <c r="K146" s="25"/>
      <c r="L146" s="25"/>
      <c r="M146" s="25"/>
      <c r="N146" s="25"/>
      <c r="O146" s="25"/>
      <c r="P146" s="25"/>
      <c r="Q146" s="25"/>
      <c r="R146" s="25"/>
      <c r="S146" s="25"/>
      <c r="T146" s="25"/>
      <c r="U146" s="25"/>
      <c r="V146" s="25"/>
      <c r="W146" s="25"/>
      <c r="X146" s="25"/>
      <c r="Y146" s="25"/>
      <c r="Z146" s="25"/>
      <c r="AA146" s="25"/>
      <c r="AB146" s="25"/>
      <c r="AC146" s="25"/>
      <c r="AD146" s="25"/>
      <c r="AE146" s="25"/>
      <c r="AF146" s="25"/>
      <c r="AG146" s="25"/>
    </row>
    <row r="147" spans="1:33">
      <c r="A147" s="21" t="str">
        <f ca="1">IFERROR(IF(Loan_Not_Paid*Values_Entered,Payment_Number,""), "")</f>
        <v/>
      </c>
      <c r="B147" s="22" t="str">
        <f ca="1">IFERROR(IF(Loan_Not_Paid*Values_Entered,Payment_Date,""), "")</f>
        <v/>
      </c>
      <c r="C147" s="23" t="str">
        <f ca="1">IFERROR(IF(Loan_Not_Paid*Values_Entered,Beginning_Balance,""), "")</f>
        <v/>
      </c>
      <c r="D147" s="23" t="str">
        <f ca="1">IFERROR(IF(Loan_Not_Paid*Values_Entered,Monthly_Payment,""), "")</f>
        <v/>
      </c>
      <c r="E147" s="23" t="str">
        <f ca="1">IFERROR(IF(Loan_Not_Paid*Values_Entered,Principal,""), "")</f>
        <v/>
      </c>
      <c r="F147" s="23" t="str">
        <f ca="1">IFERROR(IF(Loan_Not_Paid*Values_Entered,Interest,""), "")</f>
        <v/>
      </c>
      <c r="G147" s="23" t="str">
        <f ca="1">IFERROR(IF(Loan_Not_Paid*Values_Entered,Ending_Balance,""), "")</f>
        <v/>
      </c>
      <c r="I147" s="25"/>
      <c r="J147" s="25"/>
      <c r="K147" s="25"/>
      <c r="L147" s="25"/>
      <c r="M147" s="25"/>
      <c r="N147" s="25"/>
      <c r="O147" s="25"/>
      <c r="P147" s="25"/>
      <c r="Q147" s="25"/>
      <c r="R147" s="25"/>
      <c r="S147" s="25"/>
      <c r="T147" s="25"/>
      <c r="U147" s="25"/>
      <c r="V147" s="25"/>
      <c r="W147" s="25"/>
      <c r="X147" s="25"/>
      <c r="Y147" s="25"/>
      <c r="Z147" s="25"/>
      <c r="AA147" s="25"/>
      <c r="AB147" s="25"/>
      <c r="AC147" s="25"/>
      <c r="AD147" s="25"/>
      <c r="AE147" s="25"/>
      <c r="AF147" s="25"/>
      <c r="AG147" s="25"/>
    </row>
    <row r="148" spans="1:33">
      <c r="A148" s="21" t="str">
        <f ca="1">IFERROR(IF(Loan_Not_Paid*Values_Entered,Payment_Number,""), "")</f>
        <v/>
      </c>
      <c r="B148" s="22" t="str">
        <f ca="1">IFERROR(IF(Loan_Not_Paid*Values_Entered,Payment_Date,""), "")</f>
        <v/>
      </c>
      <c r="C148" s="23" t="str">
        <f ca="1">IFERROR(IF(Loan_Not_Paid*Values_Entered,Beginning_Balance,""), "")</f>
        <v/>
      </c>
      <c r="D148" s="23" t="str">
        <f ca="1">IFERROR(IF(Loan_Not_Paid*Values_Entered,Monthly_Payment,""), "")</f>
        <v/>
      </c>
      <c r="E148" s="23" t="str">
        <f ca="1">IFERROR(IF(Loan_Not_Paid*Values_Entered,Principal,""), "")</f>
        <v/>
      </c>
      <c r="F148" s="23" t="str">
        <f ca="1">IFERROR(IF(Loan_Not_Paid*Values_Entered,Interest,""), "")</f>
        <v/>
      </c>
      <c r="G148" s="23" t="str">
        <f ca="1">IFERROR(IF(Loan_Not_Paid*Values_Entered,Ending_Balance,""), "")</f>
        <v/>
      </c>
      <c r="I148" s="25"/>
      <c r="J148" s="25"/>
      <c r="K148" s="25"/>
      <c r="L148" s="25"/>
      <c r="M148" s="25"/>
      <c r="N148" s="25"/>
      <c r="O148" s="25"/>
      <c r="P148" s="25"/>
      <c r="Q148" s="25"/>
      <c r="R148" s="25"/>
      <c r="S148" s="25"/>
      <c r="T148" s="25"/>
      <c r="U148" s="25"/>
      <c r="V148" s="25"/>
      <c r="W148" s="25"/>
      <c r="X148" s="25"/>
      <c r="Y148" s="25"/>
      <c r="Z148" s="25"/>
      <c r="AA148" s="25"/>
      <c r="AB148" s="25"/>
      <c r="AC148" s="25"/>
      <c r="AD148" s="25"/>
      <c r="AE148" s="25"/>
      <c r="AF148" s="25"/>
      <c r="AG148" s="25"/>
    </row>
    <row r="149" spans="1:33">
      <c r="A149" s="21" t="str">
        <f ca="1">IFERROR(IF(Loan_Not_Paid*Values_Entered,Payment_Number,""), "")</f>
        <v/>
      </c>
      <c r="B149" s="22" t="str">
        <f ca="1">IFERROR(IF(Loan_Not_Paid*Values_Entered,Payment_Date,""), "")</f>
        <v/>
      </c>
      <c r="C149" s="23" t="str">
        <f ca="1">IFERROR(IF(Loan_Not_Paid*Values_Entered,Beginning_Balance,""), "")</f>
        <v/>
      </c>
      <c r="D149" s="23" t="str">
        <f ca="1">IFERROR(IF(Loan_Not_Paid*Values_Entered,Monthly_Payment,""), "")</f>
        <v/>
      </c>
      <c r="E149" s="23" t="str">
        <f ca="1">IFERROR(IF(Loan_Not_Paid*Values_Entered,Principal,""), "")</f>
        <v/>
      </c>
      <c r="F149" s="23" t="str">
        <f ca="1">IFERROR(IF(Loan_Not_Paid*Values_Entered,Interest,""), "")</f>
        <v/>
      </c>
      <c r="G149" s="23" t="str">
        <f ca="1">IFERROR(IF(Loan_Not_Paid*Values_Entered,Ending_Balance,""), "")</f>
        <v/>
      </c>
      <c r="I149" s="25"/>
      <c r="J149" s="25"/>
      <c r="K149" s="25"/>
      <c r="L149" s="25"/>
      <c r="M149" s="25"/>
      <c r="N149" s="25"/>
      <c r="O149" s="25"/>
      <c r="P149" s="25"/>
      <c r="Q149" s="25"/>
      <c r="R149" s="25"/>
      <c r="S149" s="25"/>
      <c r="T149" s="25"/>
      <c r="U149" s="25"/>
      <c r="V149" s="25"/>
      <c r="W149" s="25"/>
      <c r="X149" s="25"/>
      <c r="Y149" s="25"/>
      <c r="Z149" s="25"/>
      <c r="AA149" s="25"/>
      <c r="AB149" s="25"/>
      <c r="AC149" s="25"/>
      <c r="AD149" s="25"/>
      <c r="AE149" s="25"/>
      <c r="AF149" s="25"/>
      <c r="AG149" s="25"/>
    </row>
    <row r="150" spans="1:33">
      <c r="A150" s="21" t="str">
        <f ca="1">IFERROR(IF(Loan_Not_Paid*Values_Entered,Payment_Number,""), "")</f>
        <v/>
      </c>
      <c r="B150" s="22" t="str">
        <f ca="1">IFERROR(IF(Loan_Not_Paid*Values_Entered,Payment_Date,""), "")</f>
        <v/>
      </c>
      <c r="C150" s="23" t="str">
        <f ca="1">IFERROR(IF(Loan_Not_Paid*Values_Entered,Beginning_Balance,""), "")</f>
        <v/>
      </c>
      <c r="D150" s="23" t="str">
        <f ca="1">IFERROR(IF(Loan_Not_Paid*Values_Entered,Monthly_Payment,""), "")</f>
        <v/>
      </c>
      <c r="E150" s="23" t="str">
        <f ca="1">IFERROR(IF(Loan_Not_Paid*Values_Entered,Principal,""), "")</f>
        <v/>
      </c>
      <c r="F150" s="23" t="str">
        <f ca="1">IFERROR(IF(Loan_Not_Paid*Values_Entered,Interest,""), "")</f>
        <v/>
      </c>
      <c r="G150" s="23" t="str">
        <f ca="1">IFERROR(IF(Loan_Not_Paid*Values_Entered,Ending_Balance,""), "")</f>
        <v/>
      </c>
      <c r="I150" s="25"/>
      <c r="J150" s="25"/>
      <c r="K150" s="25"/>
      <c r="L150" s="25"/>
      <c r="M150" s="25"/>
      <c r="N150" s="25"/>
      <c r="O150" s="25"/>
      <c r="P150" s="25"/>
      <c r="Q150" s="25"/>
      <c r="R150" s="25"/>
      <c r="S150" s="25"/>
      <c r="T150" s="25"/>
      <c r="U150" s="25"/>
      <c r="V150" s="25"/>
      <c r="W150" s="25"/>
      <c r="X150" s="25"/>
      <c r="Y150" s="25"/>
      <c r="Z150" s="25"/>
      <c r="AA150" s="25"/>
      <c r="AB150" s="25"/>
      <c r="AC150" s="25"/>
      <c r="AD150" s="25"/>
      <c r="AE150" s="25"/>
      <c r="AF150" s="25"/>
      <c r="AG150" s="25"/>
    </row>
    <row r="151" spans="1:33">
      <c r="A151" s="21" t="str">
        <f ca="1">IFERROR(IF(Loan_Not_Paid*Values_Entered,Payment_Number,""), "")</f>
        <v/>
      </c>
      <c r="B151" s="22" t="str">
        <f ca="1">IFERROR(IF(Loan_Not_Paid*Values_Entered,Payment_Date,""), "")</f>
        <v/>
      </c>
      <c r="C151" s="23" t="str">
        <f ca="1">IFERROR(IF(Loan_Not_Paid*Values_Entered,Beginning_Balance,""), "")</f>
        <v/>
      </c>
      <c r="D151" s="23" t="str">
        <f ca="1">IFERROR(IF(Loan_Not_Paid*Values_Entered,Monthly_Payment,""), "")</f>
        <v/>
      </c>
      <c r="E151" s="23" t="str">
        <f ca="1">IFERROR(IF(Loan_Not_Paid*Values_Entered,Principal,""), "")</f>
        <v/>
      </c>
      <c r="F151" s="23" t="str">
        <f ca="1">IFERROR(IF(Loan_Not_Paid*Values_Entered,Interest,""), "")</f>
        <v/>
      </c>
      <c r="G151" s="23" t="str">
        <f ca="1">IFERROR(IF(Loan_Not_Paid*Values_Entered,Ending_Balance,""), "")</f>
        <v/>
      </c>
      <c r="I151" s="25"/>
      <c r="J151" s="25"/>
      <c r="K151" s="25"/>
      <c r="L151" s="25"/>
      <c r="M151" s="25"/>
      <c r="N151" s="25"/>
      <c r="O151" s="25"/>
      <c r="P151" s="25"/>
      <c r="Q151" s="25"/>
      <c r="R151" s="25"/>
      <c r="S151" s="25"/>
      <c r="T151" s="25"/>
      <c r="U151" s="25"/>
      <c r="V151" s="25"/>
      <c r="W151" s="25"/>
      <c r="X151" s="25"/>
      <c r="Y151" s="25"/>
      <c r="Z151" s="25"/>
      <c r="AA151" s="25"/>
      <c r="AB151" s="25"/>
      <c r="AC151" s="25"/>
      <c r="AD151" s="25"/>
      <c r="AE151" s="25"/>
      <c r="AF151" s="25"/>
      <c r="AG151" s="25"/>
    </row>
    <row r="152" spans="1:33">
      <c r="A152" s="21" t="str">
        <f ca="1">IFERROR(IF(Loan_Not_Paid*Values_Entered,Payment_Number,""), "")</f>
        <v/>
      </c>
      <c r="B152" s="22" t="str">
        <f ca="1">IFERROR(IF(Loan_Not_Paid*Values_Entered,Payment_Date,""), "")</f>
        <v/>
      </c>
      <c r="C152" s="23" t="str">
        <f ca="1">IFERROR(IF(Loan_Not_Paid*Values_Entered,Beginning_Balance,""), "")</f>
        <v/>
      </c>
      <c r="D152" s="23" t="str">
        <f ca="1">IFERROR(IF(Loan_Not_Paid*Values_Entered,Monthly_Payment,""), "")</f>
        <v/>
      </c>
      <c r="E152" s="23" t="str">
        <f ca="1">IFERROR(IF(Loan_Not_Paid*Values_Entered,Principal,""), "")</f>
        <v/>
      </c>
      <c r="F152" s="23" t="str">
        <f ca="1">IFERROR(IF(Loan_Not_Paid*Values_Entered,Interest,""), "")</f>
        <v/>
      </c>
      <c r="G152" s="23" t="str">
        <f ca="1">IFERROR(IF(Loan_Not_Paid*Values_Entered,Ending_Balance,""), "")</f>
        <v/>
      </c>
      <c r="I152" s="25"/>
      <c r="J152" s="25"/>
      <c r="K152" s="25"/>
      <c r="L152" s="25"/>
      <c r="M152" s="25"/>
      <c r="N152" s="25"/>
      <c r="O152" s="25"/>
      <c r="P152" s="25"/>
      <c r="Q152" s="25"/>
      <c r="R152" s="25"/>
      <c r="S152" s="25"/>
      <c r="T152" s="25"/>
      <c r="U152" s="25"/>
      <c r="V152" s="25"/>
      <c r="W152" s="25"/>
      <c r="X152" s="25"/>
      <c r="Y152" s="25"/>
      <c r="Z152" s="25"/>
      <c r="AA152" s="25"/>
      <c r="AB152" s="25"/>
      <c r="AC152" s="25"/>
      <c r="AD152" s="25"/>
      <c r="AE152" s="25"/>
      <c r="AF152" s="25"/>
      <c r="AG152" s="25"/>
    </row>
    <row r="153" spans="1:33">
      <c r="A153" s="21" t="str">
        <f ca="1">IFERROR(IF(Loan_Not_Paid*Values_Entered,Payment_Number,""), "")</f>
        <v/>
      </c>
      <c r="B153" s="22" t="str">
        <f ca="1">IFERROR(IF(Loan_Not_Paid*Values_Entered,Payment_Date,""), "")</f>
        <v/>
      </c>
      <c r="C153" s="23" t="str">
        <f ca="1">IFERROR(IF(Loan_Not_Paid*Values_Entered,Beginning_Balance,""), "")</f>
        <v/>
      </c>
      <c r="D153" s="23" t="str">
        <f ca="1">IFERROR(IF(Loan_Not_Paid*Values_Entered,Monthly_Payment,""), "")</f>
        <v/>
      </c>
      <c r="E153" s="23" t="str">
        <f ca="1">IFERROR(IF(Loan_Not_Paid*Values_Entered,Principal,""), "")</f>
        <v/>
      </c>
      <c r="F153" s="23" t="str">
        <f ca="1">IFERROR(IF(Loan_Not_Paid*Values_Entered,Interest,""), "")</f>
        <v/>
      </c>
      <c r="G153" s="23" t="str">
        <f ca="1">IFERROR(IF(Loan_Not_Paid*Values_Entered,Ending_Balance,""), "")</f>
        <v/>
      </c>
      <c r="I153" s="25"/>
      <c r="J153" s="25"/>
      <c r="K153" s="25"/>
      <c r="L153" s="25"/>
      <c r="M153" s="25"/>
      <c r="N153" s="25"/>
      <c r="O153" s="25"/>
      <c r="P153" s="25"/>
      <c r="Q153" s="25"/>
      <c r="R153" s="25"/>
      <c r="S153" s="25"/>
      <c r="T153" s="25"/>
      <c r="U153" s="25"/>
      <c r="V153" s="25"/>
      <c r="W153" s="25"/>
      <c r="X153" s="25"/>
      <c r="Y153" s="25"/>
      <c r="Z153" s="25"/>
      <c r="AA153" s="25"/>
      <c r="AB153" s="25"/>
      <c r="AC153" s="25"/>
      <c r="AD153" s="25"/>
      <c r="AE153" s="25"/>
      <c r="AF153" s="25"/>
      <c r="AG153" s="25"/>
    </row>
    <row r="154" spans="1:33">
      <c r="A154" s="21" t="str">
        <f ca="1">IFERROR(IF(Loan_Not_Paid*Values_Entered,Payment_Number,""), "")</f>
        <v/>
      </c>
      <c r="B154" s="22" t="str">
        <f ca="1">IFERROR(IF(Loan_Not_Paid*Values_Entered,Payment_Date,""), "")</f>
        <v/>
      </c>
      <c r="C154" s="23" t="str">
        <f ca="1">IFERROR(IF(Loan_Not_Paid*Values_Entered,Beginning_Balance,""), "")</f>
        <v/>
      </c>
      <c r="D154" s="23" t="str">
        <f ca="1">IFERROR(IF(Loan_Not_Paid*Values_Entered,Monthly_Payment,""), "")</f>
        <v/>
      </c>
      <c r="E154" s="23" t="str">
        <f ca="1">IFERROR(IF(Loan_Not_Paid*Values_Entered,Principal,""), "")</f>
        <v/>
      </c>
      <c r="F154" s="23" t="str">
        <f ca="1">IFERROR(IF(Loan_Not_Paid*Values_Entered,Interest,""), "")</f>
        <v/>
      </c>
      <c r="G154" s="23" t="str">
        <f ca="1">IFERROR(IF(Loan_Not_Paid*Values_Entered,Ending_Balance,""), "")</f>
        <v/>
      </c>
      <c r="I154" s="25"/>
      <c r="J154" s="25"/>
      <c r="K154" s="25"/>
      <c r="L154" s="25"/>
      <c r="M154" s="25"/>
      <c r="N154" s="25"/>
      <c r="O154" s="25"/>
      <c r="P154" s="25"/>
      <c r="Q154" s="25"/>
      <c r="R154" s="25"/>
      <c r="S154" s="25"/>
      <c r="T154" s="25"/>
      <c r="U154" s="25"/>
      <c r="V154" s="25"/>
      <c r="W154" s="25"/>
      <c r="X154" s="25"/>
      <c r="Y154" s="25"/>
      <c r="Z154" s="25"/>
      <c r="AA154" s="25"/>
      <c r="AB154" s="25"/>
      <c r="AC154" s="25"/>
      <c r="AD154" s="25"/>
      <c r="AE154" s="25"/>
      <c r="AF154" s="25"/>
      <c r="AG154" s="25"/>
    </row>
    <row r="155" spans="1:33">
      <c r="A155" s="21" t="str">
        <f ca="1">IFERROR(IF(Loan_Not_Paid*Values_Entered,Payment_Number,""), "")</f>
        <v/>
      </c>
      <c r="B155" s="22" t="str">
        <f ca="1">IFERROR(IF(Loan_Not_Paid*Values_Entered,Payment_Date,""), "")</f>
        <v/>
      </c>
      <c r="C155" s="23" t="str">
        <f ca="1">IFERROR(IF(Loan_Not_Paid*Values_Entered,Beginning_Balance,""), "")</f>
        <v/>
      </c>
      <c r="D155" s="23" t="str">
        <f ca="1">IFERROR(IF(Loan_Not_Paid*Values_Entered,Monthly_Payment,""), "")</f>
        <v/>
      </c>
      <c r="E155" s="23" t="str">
        <f ca="1">IFERROR(IF(Loan_Not_Paid*Values_Entered,Principal,""), "")</f>
        <v/>
      </c>
      <c r="F155" s="23" t="str">
        <f ca="1">IFERROR(IF(Loan_Not_Paid*Values_Entered,Interest,""), "")</f>
        <v/>
      </c>
      <c r="G155" s="23" t="str">
        <f ca="1">IFERROR(IF(Loan_Not_Paid*Values_Entered,Ending_Balance,""), "")</f>
        <v/>
      </c>
      <c r="I155" s="25"/>
      <c r="J155" s="25"/>
      <c r="K155" s="25"/>
      <c r="L155" s="25"/>
      <c r="M155" s="25"/>
      <c r="N155" s="25"/>
      <c r="O155" s="25"/>
      <c r="P155" s="25"/>
      <c r="Q155" s="25"/>
      <c r="R155" s="25"/>
      <c r="S155" s="25"/>
      <c r="T155" s="25"/>
      <c r="U155" s="25"/>
      <c r="V155" s="25"/>
      <c r="W155" s="25"/>
      <c r="X155" s="25"/>
      <c r="Y155" s="25"/>
      <c r="Z155" s="25"/>
      <c r="AA155" s="25"/>
      <c r="AB155" s="25"/>
      <c r="AC155" s="25"/>
      <c r="AD155" s="25"/>
      <c r="AE155" s="25"/>
      <c r="AF155" s="25"/>
      <c r="AG155" s="25"/>
    </row>
    <row r="156" spans="1:33">
      <c r="A156" s="21" t="str">
        <f ca="1">IFERROR(IF(Loan_Not_Paid*Values_Entered,Payment_Number,""), "")</f>
        <v/>
      </c>
      <c r="B156" s="22" t="str">
        <f ca="1">IFERROR(IF(Loan_Not_Paid*Values_Entered,Payment_Date,""), "")</f>
        <v/>
      </c>
      <c r="C156" s="23" t="str">
        <f ca="1">IFERROR(IF(Loan_Not_Paid*Values_Entered,Beginning_Balance,""), "")</f>
        <v/>
      </c>
      <c r="D156" s="23" t="str">
        <f ca="1">IFERROR(IF(Loan_Not_Paid*Values_Entered,Monthly_Payment,""), "")</f>
        <v/>
      </c>
      <c r="E156" s="23" t="str">
        <f ca="1">IFERROR(IF(Loan_Not_Paid*Values_Entered,Principal,""), "")</f>
        <v/>
      </c>
      <c r="F156" s="23" t="str">
        <f ca="1">IFERROR(IF(Loan_Not_Paid*Values_Entered,Interest,""), "")</f>
        <v/>
      </c>
      <c r="G156" s="23" t="str">
        <f ca="1">IFERROR(IF(Loan_Not_Paid*Values_Entered,Ending_Balance,""), "")</f>
        <v/>
      </c>
      <c r="I156" s="25"/>
      <c r="J156" s="25"/>
      <c r="K156" s="25"/>
      <c r="L156" s="25"/>
      <c r="M156" s="25"/>
      <c r="N156" s="25"/>
      <c r="O156" s="25"/>
      <c r="P156" s="25"/>
      <c r="Q156" s="25"/>
      <c r="R156" s="25"/>
      <c r="S156" s="25"/>
      <c r="T156" s="25"/>
      <c r="U156" s="25"/>
      <c r="V156" s="25"/>
      <c r="W156" s="25"/>
      <c r="X156" s="25"/>
      <c r="Y156" s="25"/>
      <c r="Z156" s="25"/>
      <c r="AA156" s="25"/>
      <c r="AB156" s="25"/>
      <c r="AC156" s="25"/>
      <c r="AD156" s="25"/>
      <c r="AE156" s="25"/>
      <c r="AF156" s="25"/>
      <c r="AG156" s="25"/>
    </row>
    <row r="157" spans="1:33">
      <c r="A157" s="21" t="str">
        <f ca="1">IFERROR(IF(Loan_Not_Paid*Values_Entered,Payment_Number,""), "")</f>
        <v/>
      </c>
      <c r="B157" s="22" t="str">
        <f ca="1">IFERROR(IF(Loan_Not_Paid*Values_Entered,Payment_Date,""), "")</f>
        <v/>
      </c>
      <c r="C157" s="23" t="str">
        <f ca="1">IFERROR(IF(Loan_Not_Paid*Values_Entered,Beginning_Balance,""), "")</f>
        <v/>
      </c>
      <c r="D157" s="23" t="str">
        <f ca="1">IFERROR(IF(Loan_Not_Paid*Values_Entered,Monthly_Payment,""), "")</f>
        <v/>
      </c>
      <c r="E157" s="23" t="str">
        <f ca="1">IFERROR(IF(Loan_Not_Paid*Values_Entered,Principal,""), "")</f>
        <v/>
      </c>
      <c r="F157" s="23" t="str">
        <f ca="1">IFERROR(IF(Loan_Not_Paid*Values_Entered,Interest,""), "")</f>
        <v/>
      </c>
      <c r="G157" s="23" t="str">
        <f ca="1">IFERROR(IF(Loan_Not_Paid*Values_Entered,Ending_Balance,""), "")</f>
        <v/>
      </c>
      <c r="I157" s="25"/>
      <c r="J157" s="25"/>
      <c r="K157" s="25"/>
      <c r="L157" s="25"/>
      <c r="M157" s="25"/>
      <c r="N157" s="25"/>
      <c r="O157" s="25"/>
      <c r="P157" s="25"/>
      <c r="Q157" s="25"/>
      <c r="R157" s="25"/>
      <c r="S157" s="25"/>
      <c r="T157" s="25"/>
      <c r="U157" s="25"/>
      <c r="V157" s="25"/>
      <c r="W157" s="25"/>
      <c r="X157" s="25"/>
      <c r="Y157" s="25"/>
      <c r="Z157" s="25"/>
      <c r="AA157" s="25"/>
      <c r="AB157" s="25"/>
      <c r="AC157" s="25"/>
      <c r="AD157" s="25"/>
      <c r="AE157" s="25"/>
      <c r="AF157" s="25"/>
      <c r="AG157" s="25"/>
    </row>
    <row r="158" spans="1:33">
      <c r="A158" s="21" t="str">
        <f ca="1">IFERROR(IF(Loan_Not_Paid*Values_Entered,Payment_Number,""), "")</f>
        <v/>
      </c>
      <c r="B158" s="22" t="str">
        <f ca="1">IFERROR(IF(Loan_Not_Paid*Values_Entered,Payment_Date,""), "")</f>
        <v/>
      </c>
      <c r="C158" s="23" t="str">
        <f ca="1">IFERROR(IF(Loan_Not_Paid*Values_Entered,Beginning_Balance,""), "")</f>
        <v/>
      </c>
      <c r="D158" s="23" t="str">
        <f ca="1">IFERROR(IF(Loan_Not_Paid*Values_Entered,Monthly_Payment,""), "")</f>
        <v/>
      </c>
      <c r="E158" s="23" t="str">
        <f ca="1">IFERROR(IF(Loan_Not_Paid*Values_Entered,Principal,""), "")</f>
        <v/>
      </c>
      <c r="F158" s="23" t="str">
        <f ca="1">IFERROR(IF(Loan_Not_Paid*Values_Entered,Interest,""), "")</f>
        <v/>
      </c>
      <c r="G158" s="23" t="str">
        <f ca="1">IFERROR(IF(Loan_Not_Paid*Values_Entered,Ending_Balance,""), "")</f>
        <v/>
      </c>
      <c r="I158" s="25"/>
      <c r="J158" s="25"/>
      <c r="K158" s="25"/>
      <c r="L158" s="25"/>
      <c r="M158" s="25"/>
      <c r="N158" s="25"/>
      <c r="O158" s="25"/>
      <c r="P158" s="25"/>
      <c r="Q158" s="25"/>
      <c r="R158" s="25"/>
      <c r="S158" s="25"/>
      <c r="T158" s="25"/>
      <c r="U158" s="25"/>
      <c r="V158" s="25"/>
      <c r="W158" s="25"/>
      <c r="X158" s="25"/>
      <c r="Y158" s="25"/>
      <c r="Z158" s="25"/>
      <c r="AA158" s="25"/>
      <c r="AB158" s="25"/>
      <c r="AC158" s="25"/>
      <c r="AD158" s="25"/>
      <c r="AE158" s="25"/>
      <c r="AF158" s="25"/>
      <c r="AG158" s="25"/>
    </row>
    <row r="159" spans="1:33">
      <c r="A159" s="21" t="str">
        <f ca="1">IFERROR(IF(Loan_Not_Paid*Values_Entered,Payment_Number,""), "")</f>
        <v/>
      </c>
      <c r="B159" s="22" t="str">
        <f ca="1">IFERROR(IF(Loan_Not_Paid*Values_Entered,Payment_Date,""), "")</f>
        <v/>
      </c>
      <c r="C159" s="23" t="str">
        <f ca="1">IFERROR(IF(Loan_Not_Paid*Values_Entered,Beginning_Balance,""), "")</f>
        <v/>
      </c>
      <c r="D159" s="23" t="str">
        <f ca="1">IFERROR(IF(Loan_Not_Paid*Values_Entered,Monthly_Payment,""), "")</f>
        <v/>
      </c>
      <c r="E159" s="23" t="str">
        <f ca="1">IFERROR(IF(Loan_Not_Paid*Values_Entered,Principal,""), "")</f>
        <v/>
      </c>
      <c r="F159" s="23" t="str">
        <f ca="1">IFERROR(IF(Loan_Not_Paid*Values_Entered,Interest,""), "")</f>
        <v/>
      </c>
      <c r="G159" s="23" t="str">
        <f ca="1">IFERROR(IF(Loan_Not_Paid*Values_Entered,Ending_Balance,""), "")</f>
        <v/>
      </c>
      <c r="I159" s="25"/>
      <c r="J159" s="25"/>
      <c r="K159" s="25"/>
      <c r="L159" s="25"/>
      <c r="M159" s="25"/>
      <c r="N159" s="25"/>
      <c r="O159" s="25"/>
      <c r="P159" s="25"/>
      <c r="Q159" s="25"/>
      <c r="R159" s="25"/>
      <c r="S159" s="25"/>
      <c r="T159" s="25"/>
      <c r="U159" s="25"/>
      <c r="V159" s="25"/>
      <c r="W159" s="25"/>
      <c r="X159" s="25"/>
      <c r="Y159" s="25"/>
      <c r="Z159" s="25"/>
      <c r="AA159" s="25"/>
      <c r="AB159" s="25"/>
      <c r="AC159" s="25"/>
      <c r="AD159" s="25"/>
      <c r="AE159" s="25"/>
      <c r="AF159" s="25"/>
      <c r="AG159" s="25"/>
    </row>
    <row r="160" spans="1:33">
      <c r="A160" s="21" t="str">
        <f ca="1">IFERROR(IF(Loan_Not_Paid*Values_Entered,Payment_Number,""), "")</f>
        <v/>
      </c>
      <c r="B160" s="22" t="str">
        <f ca="1">IFERROR(IF(Loan_Not_Paid*Values_Entered,Payment_Date,""), "")</f>
        <v/>
      </c>
      <c r="C160" s="23" t="str">
        <f ca="1">IFERROR(IF(Loan_Not_Paid*Values_Entered,Beginning_Balance,""), "")</f>
        <v/>
      </c>
      <c r="D160" s="23" t="str">
        <f ca="1">IFERROR(IF(Loan_Not_Paid*Values_Entered,Monthly_Payment,""), "")</f>
        <v/>
      </c>
      <c r="E160" s="23" t="str">
        <f ca="1">IFERROR(IF(Loan_Not_Paid*Values_Entered,Principal,""), "")</f>
        <v/>
      </c>
      <c r="F160" s="23" t="str">
        <f ca="1">IFERROR(IF(Loan_Not_Paid*Values_Entered,Interest,""), "")</f>
        <v/>
      </c>
      <c r="G160" s="23" t="str">
        <f ca="1">IFERROR(IF(Loan_Not_Paid*Values_Entered,Ending_Balance,""), "")</f>
        <v/>
      </c>
      <c r="I160" s="25"/>
      <c r="J160" s="25"/>
      <c r="K160" s="25"/>
      <c r="L160" s="25"/>
      <c r="M160" s="25"/>
      <c r="N160" s="25"/>
      <c r="O160" s="25"/>
      <c r="P160" s="25"/>
      <c r="Q160" s="25"/>
      <c r="R160" s="25"/>
      <c r="S160" s="25"/>
      <c r="T160" s="25"/>
      <c r="U160" s="25"/>
      <c r="V160" s="25"/>
      <c r="W160" s="25"/>
      <c r="X160" s="25"/>
      <c r="Y160" s="25"/>
      <c r="Z160" s="25"/>
      <c r="AA160" s="25"/>
      <c r="AB160" s="25"/>
      <c r="AC160" s="25"/>
      <c r="AD160" s="25"/>
      <c r="AE160" s="25"/>
      <c r="AF160" s="25"/>
      <c r="AG160" s="25"/>
    </row>
    <row r="161" spans="1:33">
      <c r="A161" s="21" t="str">
        <f ca="1">IFERROR(IF(Loan_Not_Paid*Values_Entered,Payment_Number,""), "")</f>
        <v/>
      </c>
      <c r="B161" s="22" t="str">
        <f ca="1">IFERROR(IF(Loan_Not_Paid*Values_Entered,Payment_Date,""), "")</f>
        <v/>
      </c>
      <c r="C161" s="23" t="str">
        <f ca="1">IFERROR(IF(Loan_Not_Paid*Values_Entered,Beginning_Balance,""), "")</f>
        <v/>
      </c>
      <c r="D161" s="23" t="str">
        <f ca="1">IFERROR(IF(Loan_Not_Paid*Values_Entered,Monthly_Payment,""), "")</f>
        <v/>
      </c>
      <c r="E161" s="23" t="str">
        <f ca="1">IFERROR(IF(Loan_Not_Paid*Values_Entered,Principal,""), "")</f>
        <v/>
      </c>
      <c r="F161" s="23" t="str">
        <f ca="1">IFERROR(IF(Loan_Not_Paid*Values_Entered,Interest,""), "")</f>
        <v/>
      </c>
      <c r="G161" s="23" t="str">
        <f ca="1">IFERROR(IF(Loan_Not_Paid*Values_Entered,Ending_Balance,""), "")</f>
        <v/>
      </c>
      <c r="I161" s="25"/>
      <c r="J161" s="25"/>
      <c r="K161" s="25"/>
      <c r="L161" s="25"/>
      <c r="M161" s="25"/>
      <c r="N161" s="25"/>
      <c r="O161" s="25"/>
      <c r="P161" s="25"/>
      <c r="Q161" s="25"/>
      <c r="R161" s="25"/>
      <c r="S161" s="25"/>
      <c r="T161" s="25"/>
      <c r="U161" s="25"/>
      <c r="V161" s="25"/>
      <c r="W161" s="25"/>
      <c r="X161" s="25"/>
      <c r="Y161" s="25"/>
      <c r="Z161" s="25"/>
      <c r="AA161" s="25"/>
      <c r="AB161" s="25"/>
      <c r="AC161" s="25"/>
      <c r="AD161" s="25"/>
      <c r="AE161" s="25"/>
      <c r="AF161" s="25"/>
      <c r="AG161" s="25"/>
    </row>
    <row r="162" spans="1:33">
      <c r="A162" s="21" t="str">
        <f ca="1">IFERROR(IF(Loan_Not_Paid*Values_Entered,Payment_Number,""), "")</f>
        <v/>
      </c>
      <c r="B162" s="22" t="str">
        <f ca="1">IFERROR(IF(Loan_Not_Paid*Values_Entered,Payment_Date,""), "")</f>
        <v/>
      </c>
      <c r="C162" s="23" t="str">
        <f ca="1">IFERROR(IF(Loan_Not_Paid*Values_Entered,Beginning_Balance,""), "")</f>
        <v/>
      </c>
      <c r="D162" s="23" t="str">
        <f ca="1">IFERROR(IF(Loan_Not_Paid*Values_Entered,Monthly_Payment,""), "")</f>
        <v/>
      </c>
      <c r="E162" s="23" t="str">
        <f ca="1">IFERROR(IF(Loan_Not_Paid*Values_Entered,Principal,""), "")</f>
        <v/>
      </c>
      <c r="F162" s="23" t="str">
        <f ca="1">IFERROR(IF(Loan_Not_Paid*Values_Entered,Interest,""), "")</f>
        <v/>
      </c>
      <c r="G162" s="23" t="str">
        <f ca="1">IFERROR(IF(Loan_Not_Paid*Values_Entered,Ending_Balance,""), "")</f>
        <v/>
      </c>
      <c r="I162" s="25"/>
      <c r="J162" s="25"/>
      <c r="K162" s="25"/>
      <c r="L162" s="25"/>
      <c r="M162" s="25"/>
      <c r="N162" s="25"/>
      <c r="O162" s="25"/>
      <c r="P162" s="25"/>
      <c r="Q162" s="25"/>
      <c r="R162" s="25"/>
      <c r="S162" s="25"/>
      <c r="T162" s="25"/>
      <c r="U162" s="25"/>
      <c r="V162" s="25"/>
      <c r="W162" s="25"/>
      <c r="X162" s="25"/>
      <c r="Y162" s="25"/>
      <c r="Z162" s="25"/>
      <c r="AA162" s="25"/>
      <c r="AB162" s="25"/>
      <c r="AC162" s="25"/>
      <c r="AD162" s="25"/>
      <c r="AE162" s="25"/>
      <c r="AF162" s="25"/>
      <c r="AG162" s="25"/>
    </row>
    <row r="163" spans="1:33">
      <c r="A163" s="21" t="str">
        <f ca="1">IFERROR(IF(Loan_Not_Paid*Values_Entered,Payment_Number,""), "")</f>
        <v/>
      </c>
      <c r="B163" s="22" t="str">
        <f ca="1">IFERROR(IF(Loan_Not_Paid*Values_Entered,Payment_Date,""), "")</f>
        <v/>
      </c>
      <c r="C163" s="23" t="str">
        <f ca="1">IFERROR(IF(Loan_Not_Paid*Values_Entered,Beginning_Balance,""), "")</f>
        <v/>
      </c>
      <c r="D163" s="23" t="str">
        <f ca="1">IFERROR(IF(Loan_Not_Paid*Values_Entered,Monthly_Payment,""), "")</f>
        <v/>
      </c>
      <c r="E163" s="23" t="str">
        <f ca="1">IFERROR(IF(Loan_Not_Paid*Values_Entered,Principal,""), "")</f>
        <v/>
      </c>
      <c r="F163" s="23" t="str">
        <f ca="1">IFERROR(IF(Loan_Not_Paid*Values_Entered,Interest,""), "")</f>
        <v/>
      </c>
      <c r="G163" s="23" t="str">
        <f ca="1">IFERROR(IF(Loan_Not_Paid*Values_Entered,Ending_Balance,""), "")</f>
        <v/>
      </c>
      <c r="I163" s="25"/>
      <c r="J163" s="25"/>
      <c r="K163" s="25"/>
      <c r="L163" s="25"/>
      <c r="M163" s="25"/>
      <c r="N163" s="25"/>
      <c r="O163" s="25"/>
      <c r="P163" s="25"/>
      <c r="Q163" s="25"/>
      <c r="R163" s="25"/>
      <c r="S163" s="25"/>
      <c r="T163" s="25"/>
      <c r="U163" s="25"/>
      <c r="V163" s="25"/>
      <c r="W163" s="25"/>
      <c r="X163" s="25"/>
      <c r="Y163" s="25"/>
      <c r="Z163" s="25"/>
      <c r="AA163" s="25"/>
      <c r="AB163" s="25"/>
      <c r="AC163" s="25"/>
      <c r="AD163" s="25"/>
      <c r="AE163" s="25"/>
      <c r="AF163" s="25"/>
      <c r="AG163" s="25"/>
    </row>
    <row r="164" spans="1:33">
      <c r="A164" s="21" t="str">
        <f ca="1">IFERROR(IF(Loan_Not_Paid*Values_Entered,Payment_Number,""), "")</f>
        <v/>
      </c>
      <c r="B164" s="22" t="str">
        <f ca="1">IFERROR(IF(Loan_Not_Paid*Values_Entered,Payment_Date,""), "")</f>
        <v/>
      </c>
      <c r="C164" s="23" t="str">
        <f ca="1">IFERROR(IF(Loan_Not_Paid*Values_Entered,Beginning_Balance,""), "")</f>
        <v/>
      </c>
      <c r="D164" s="23" t="str">
        <f ca="1">IFERROR(IF(Loan_Not_Paid*Values_Entered,Monthly_Payment,""), "")</f>
        <v/>
      </c>
      <c r="E164" s="23" t="str">
        <f ca="1">IFERROR(IF(Loan_Not_Paid*Values_Entered,Principal,""), "")</f>
        <v/>
      </c>
      <c r="F164" s="23" t="str">
        <f ca="1">IFERROR(IF(Loan_Not_Paid*Values_Entered,Interest,""), "")</f>
        <v/>
      </c>
      <c r="G164" s="23" t="str">
        <f ca="1">IFERROR(IF(Loan_Not_Paid*Values_Entered,Ending_Balance,""), "")</f>
        <v/>
      </c>
      <c r="I164" s="25"/>
      <c r="J164" s="25"/>
      <c r="K164" s="25"/>
      <c r="L164" s="25"/>
      <c r="M164" s="25"/>
      <c r="N164" s="25"/>
      <c r="O164" s="25"/>
      <c r="P164" s="25"/>
      <c r="Q164" s="25"/>
      <c r="R164" s="25"/>
      <c r="S164" s="25"/>
      <c r="T164" s="25"/>
      <c r="U164" s="25"/>
      <c r="V164" s="25"/>
      <c r="W164" s="25"/>
      <c r="X164" s="25"/>
      <c r="Y164" s="25"/>
      <c r="Z164" s="25"/>
      <c r="AA164" s="25"/>
      <c r="AB164" s="25"/>
      <c r="AC164" s="25"/>
      <c r="AD164" s="25"/>
      <c r="AE164" s="25"/>
      <c r="AF164" s="25"/>
      <c r="AG164" s="25"/>
    </row>
    <row r="165" spans="1:33">
      <c r="A165" s="21" t="str">
        <f ca="1">IFERROR(IF(Loan_Not_Paid*Values_Entered,Payment_Number,""), "")</f>
        <v/>
      </c>
      <c r="B165" s="22" t="str">
        <f ca="1">IFERROR(IF(Loan_Not_Paid*Values_Entered,Payment_Date,""), "")</f>
        <v/>
      </c>
      <c r="C165" s="23" t="str">
        <f ca="1">IFERROR(IF(Loan_Not_Paid*Values_Entered,Beginning_Balance,""), "")</f>
        <v/>
      </c>
      <c r="D165" s="23" t="str">
        <f ca="1">IFERROR(IF(Loan_Not_Paid*Values_Entered,Monthly_Payment,""), "")</f>
        <v/>
      </c>
      <c r="E165" s="23" t="str">
        <f ca="1">IFERROR(IF(Loan_Not_Paid*Values_Entered,Principal,""), "")</f>
        <v/>
      </c>
      <c r="F165" s="23" t="str">
        <f ca="1">IFERROR(IF(Loan_Not_Paid*Values_Entered,Interest,""), "")</f>
        <v/>
      </c>
      <c r="G165" s="23" t="str">
        <f ca="1">IFERROR(IF(Loan_Not_Paid*Values_Entered,Ending_Balance,""), "")</f>
        <v/>
      </c>
      <c r="I165" s="25"/>
      <c r="J165" s="25"/>
      <c r="K165" s="25"/>
      <c r="L165" s="25"/>
      <c r="M165" s="25"/>
      <c r="N165" s="25"/>
      <c r="O165" s="25"/>
      <c r="P165" s="25"/>
      <c r="Q165" s="25"/>
      <c r="R165" s="25"/>
      <c r="S165" s="25"/>
      <c r="T165" s="25"/>
      <c r="U165" s="25"/>
      <c r="V165" s="25"/>
      <c r="W165" s="25"/>
      <c r="X165" s="25"/>
      <c r="Y165" s="25"/>
      <c r="Z165" s="25"/>
      <c r="AA165" s="25"/>
      <c r="AB165" s="25"/>
      <c r="AC165" s="25"/>
      <c r="AD165" s="25"/>
      <c r="AE165" s="25"/>
      <c r="AF165" s="25"/>
      <c r="AG165" s="25"/>
    </row>
    <row r="166" spans="1:33">
      <c r="A166" s="21" t="str">
        <f ca="1">IFERROR(IF(Loan_Not_Paid*Values_Entered,Payment_Number,""), "")</f>
        <v/>
      </c>
      <c r="B166" s="22" t="str">
        <f ca="1">IFERROR(IF(Loan_Not_Paid*Values_Entered,Payment_Date,""), "")</f>
        <v/>
      </c>
      <c r="C166" s="23" t="str">
        <f ca="1">IFERROR(IF(Loan_Not_Paid*Values_Entered,Beginning_Balance,""), "")</f>
        <v/>
      </c>
      <c r="D166" s="23" t="str">
        <f ca="1">IFERROR(IF(Loan_Not_Paid*Values_Entered,Monthly_Payment,""), "")</f>
        <v/>
      </c>
      <c r="E166" s="23" t="str">
        <f ca="1">IFERROR(IF(Loan_Not_Paid*Values_Entered,Principal,""), "")</f>
        <v/>
      </c>
      <c r="F166" s="23" t="str">
        <f ca="1">IFERROR(IF(Loan_Not_Paid*Values_Entered,Interest,""), "")</f>
        <v/>
      </c>
      <c r="G166" s="23" t="str">
        <f ca="1">IFERROR(IF(Loan_Not_Paid*Values_Entered,Ending_Balance,""), "")</f>
        <v/>
      </c>
      <c r="I166" s="25"/>
      <c r="J166" s="25"/>
      <c r="K166" s="25"/>
      <c r="L166" s="25"/>
      <c r="M166" s="25"/>
      <c r="N166" s="25"/>
      <c r="O166" s="25"/>
      <c r="P166" s="25"/>
      <c r="Q166" s="25"/>
      <c r="R166" s="25"/>
      <c r="S166" s="25"/>
      <c r="T166" s="25"/>
      <c r="U166" s="25"/>
      <c r="V166" s="25"/>
      <c r="W166" s="25"/>
      <c r="X166" s="25"/>
      <c r="Y166" s="25"/>
      <c r="Z166" s="25"/>
      <c r="AA166" s="25"/>
      <c r="AB166" s="25"/>
      <c r="AC166" s="25"/>
      <c r="AD166" s="25"/>
      <c r="AE166" s="25"/>
      <c r="AF166" s="25"/>
      <c r="AG166" s="25"/>
    </row>
    <row r="167" spans="1:33">
      <c r="A167" s="21" t="str">
        <f ca="1">IFERROR(IF(Loan_Not_Paid*Values_Entered,Payment_Number,""), "")</f>
        <v/>
      </c>
      <c r="B167" s="22" t="str">
        <f ca="1">IFERROR(IF(Loan_Not_Paid*Values_Entered,Payment_Date,""), "")</f>
        <v/>
      </c>
      <c r="C167" s="23" t="str">
        <f ca="1">IFERROR(IF(Loan_Not_Paid*Values_Entered,Beginning_Balance,""), "")</f>
        <v/>
      </c>
      <c r="D167" s="23" t="str">
        <f ca="1">IFERROR(IF(Loan_Not_Paid*Values_Entered,Monthly_Payment,""), "")</f>
        <v/>
      </c>
      <c r="E167" s="23" t="str">
        <f ca="1">IFERROR(IF(Loan_Not_Paid*Values_Entered,Principal,""), "")</f>
        <v/>
      </c>
      <c r="F167" s="23" t="str">
        <f ca="1">IFERROR(IF(Loan_Not_Paid*Values_Entered,Interest,""), "")</f>
        <v/>
      </c>
      <c r="G167" s="23" t="str">
        <f ca="1">IFERROR(IF(Loan_Not_Paid*Values_Entered,Ending_Balance,""), "")</f>
        <v/>
      </c>
      <c r="I167" s="25"/>
      <c r="J167" s="25"/>
      <c r="K167" s="25"/>
      <c r="L167" s="25"/>
      <c r="M167" s="25"/>
      <c r="N167" s="25"/>
      <c r="O167" s="25"/>
      <c r="P167" s="25"/>
      <c r="Q167" s="25"/>
      <c r="R167" s="25"/>
      <c r="S167" s="25"/>
      <c r="T167" s="25"/>
      <c r="U167" s="25"/>
      <c r="V167" s="25"/>
      <c r="W167" s="25"/>
      <c r="X167" s="25"/>
      <c r="Y167" s="25"/>
      <c r="Z167" s="25"/>
      <c r="AA167" s="25"/>
      <c r="AB167" s="25"/>
      <c r="AC167" s="25"/>
      <c r="AD167" s="25"/>
      <c r="AE167" s="25"/>
      <c r="AF167" s="25"/>
      <c r="AG167" s="25"/>
    </row>
    <row r="168" spans="1:33">
      <c r="A168" s="21" t="str">
        <f ca="1">IFERROR(IF(Loan_Not_Paid*Values_Entered,Payment_Number,""), "")</f>
        <v/>
      </c>
      <c r="B168" s="22" t="str">
        <f ca="1">IFERROR(IF(Loan_Not_Paid*Values_Entered,Payment_Date,""), "")</f>
        <v/>
      </c>
      <c r="C168" s="23" t="str">
        <f ca="1">IFERROR(IF(Loan_Not_Paid*Values_Entered,Beginning_Balance,""), "")</f>
        <v/>
      </c>
      <c r="D168" s="23" t="str">
        <f ca="1">IFERROR(IF(Loan_Not_Paid*Values_Entered,Monthly_Payment,""), "")</f>
        <v/>
      </c>
      <c r="E168" s="23" t="str">
        <f ca="1">IFERROR(IF(Loan_Not_Paid*Values_Entered,Principal,""), "")</f>
        <v/>
      </c>
      <c r="F168" s="23" t="str">
        <f ca="1">IFERROR(IF(Loan_Not_Paid*Values_Entered,Interest,""), "")</f>
        <v/>
      </c>
      <c r="G168" s="23" t="str">
        <f ca="1">IFERROR(IF(Loan_Not_Paid*Values_Entered,Ending_Balance,""), "")</f>
        <v/>
      </c>
      <c r="I168" s="25"/>
      <c r="J168" s="25"/>
      <c r="K168" s="25"/>
      <c r="L168" s="25"/>
      <c r="M168" s="25"/>
      <c r="N168" s="25"/>
      <c r="O168" s="25"/>
      <c r="P168" s="25"/>
      <c r="Q168" s="25"/>
      <c r="R168" s="25"/>
      <c r="S168" s="25"/>
      <c r="T168" s="25"/>
      <c r="U168" s="25"/>
      <c r="V168" s="25"/>
      <c r="W168" s="25"/>
      <c r="X168" s="25"/>
      <c r="Y168" s="25"/>
      <c r="Z168" s="25"/>
      <c r="AA168" s="25"/>
      <c r="AB168" s="25"/>
      <c r="AC168" s="25"/>
      <c r="AD168" s="25"/>
      <c r="AE168" s="25"/>
      <c r="AF168" s="25"/>
      <c r="AG168" s="25"/>
    </row>
    <row r="169" spans="1:33">
      <c r="A169" s="21" t="str">
        <f ca="1">IFERROR(IF(Loan_Not_Paid*Values_Entered,Payment_Number,""), "")</f>
        <v/>
      </c>
      <c r="B169" s="22" t="str">
        <f ca="1">IFERROR(IF(Loan_Not_Paid*Values_Entered,Payment_Date,""), "")</f>
        <v/>
      </c>
      <c r="C169" s="23" t="str">
        <f ca="1">IFERROR(IF(Loan_Not_Paid*Values_Entered,Beginning_Balance,""), "")</f>
        <v/>
      </c>
      <c r="D169" s="23" t="str">
        <f ca="1">IFERROR(IF(Loan_Not_Paid*Values_Entered,Monthly_Payment,""), "")</f>
        <v/>
      </c>
      <c r="E169" s="23" t="str">
        <f ca="1">IFERROR(IF(Loan_Not_Paid*Values_Entered,Principal,""), "")</f>
        <v/>
      </c>
      <c r="F169" s="23" t="str">
        <f ca="1">IFERROR(IF(Loan_Not_Paid*Values_Entered,Interest,""), "")</f>
        <v/>
      </c>
      <c r="G169" s="23" t="str">
        <f ca="1">IFERROR(IF(Loan_Not_Paid*Values_Entered,Ending_Balance,""), "")</f>
        <v/>
      </c>
      <c r="I169" s="25"/>
      <c r="J169" s="25"/>
      <c r="K169" s="25"/>
      <c r="L169" s="25"/>
      <c r="M169" s="25"/>
      <c r="N169" s="25"/>
      <c r="O169" s="25"/>
      <c r="P169" s="25"/>
      <c r="Q169" s="25"/>
      <c r="R169" s="25"/>
      <c r="S169" s="25"/>
      <c r="T169" s="25"/>
      <c r="U169" s="25"/>
      <c r="V169" s="25"/>
      <c r="W169" s="25"/>
      <c r="X169" s="25"/>
      <c r="Y169" s="25"/>
      <c r="Z169" s="25"/>
      <c r="AA169" s="25"/>
      <c r="AB169" s="25"/>
      <c r="AC169" s="25"/>
      <c r="AD169" s="25"/>
      <c r="AE169" s="25"/>
      <c r="AF169" s="25"/>
      <c r="AG169" s="25"/>
    </row>
    <row r="170" spans="1:33">
      <c r="A170" s="21" t="str">
        <f ca="1">IFERROR(IF(Loan_Not_Paid*Values_Entered,Payment_Number,""), "")</f>
        <v/>
      </c>
      <c r="B170" s="22" t="str">
        <f ca="1">IFERROR(IF(Loan_Not_Paid*Values_Entered,Payment_Date,""), "")</f>
        <v/>
      </c>
      <c r="C170" s="23" t="str">
        <f ca="1">IFERROR(IF(Loan_Not_Paid*Values_Entered,Beginning_Balance,""), "")</f>
        <v/>
      </c>
      <c r="D170" s="23" t="str">
        <f ca="1">IFERROR(IF(Loan_Not_Paid*Values_Entered,Monthly_Payment,""), "")</f>
        <v/>
      </c>
      <c r="E170" s="23" t="str">
        <f ca="1">IFERROR(IF(Loan_Not_Paid*Values_Entered,Principal,""), "")</f>
        <v/>
      </c>
      <c r="F170" s="23" t="str">
        <f ca="1">IFERROR(IF(Loan_Not_Paid*Values_Entered,Interest,""), "")</f>
        <v/>
      </c>
      <c r="G170" s="23" t="str">
        <f ca="1">IFERROR(IF(Loan_Not_Paid*Values_Entered,Ending_Balance,""), "")</f>
        <v/>
      </c>
      <c r="I170" s="25"/>
      <c r="J170" s="25"/>
      <c r="K170" s="25"/>
      <c r="L170" s="25"/>
      <c r="M170" s="25"/>
      <c r="N170" s="25"/>
      <c r="O170" s="25"/>
      <c r="P170" s="25"/>
      <c r="Q170" s="25"/>
      <c r="R170" s="25"/>
      <c r="S170" s="25"/>
      <c r="T170" s="25"/>
      <c r="U170" s="25"/>
      <c r="V170" s="25"/>
      <c r="W170" s="25"/>
      <c r="X170" s="25"/>
      <c r="Y170" s="25"/>
      <c r="Z170" s="25"/>
      <c r="AA170" s="25"/>
      <c r="AB170" s="25"/>
      <c r="AC170" s="25"/>
      <c r="AD170" s="25"/>
      <c r="AE170" s="25"/>
      <c r="AF170" s="25"/>
      <c r="AG170" s="25"/>
    </row>
    <row r="171" spans="1:33">
      <c r="A171" s="21" t="str">
        <f ca="1">IFERROR(IF(Loan_Not_Paid*Values_Entered,Payment_Number,""), "")</f>
        <v/>
      </c>
      <c r="B171" s="22" t="str">
        <f ca="1">IFERROR(IF(Loan_Not_Paid*Values_Entered,Payment_Date,""), "")</f>
        <v/>
      </c>
      <c r="C171" s="23" t="str">
        <f ca="1">IFERROR(IF(Loan_Not_Paid*Values_Entered,Beginning_Balance,""), "")</f>
        <v/>
      </c>
      <c r="D171" s="23" t="str">
        <f ca="1">IFERROR(IF(Loan_Not_Paid*Values_Entered,Monthly_Payment,""), "")</f>
        <v/>
      </c>
      <c r="E171" s="23" t="str">
        <f ca="1">IFERROR(IF(Loan_Not_Paid*Values_Entered,Principal,""), "")</f>
        <v/>
      </c>
      <c r="F171" s="23" t="str">
        <f ca="1">IFERROR(IF(Loan_Not_Paid*Values_Entered,Interest,""), "")</f>
        <v/>
      </c>
      <c r="G171" s="23" t="str">
        <f ca="1">IFERROR(IF(Loan_Not_Paid*Values_Entered,Ending_Balance,""), "")</f>
        <v/>
      </c>
      <c r="I171" s="25"/>
      <c r="J171" s="25"/>
      <c r="K171" s="25"/>
      <c r="L171" s="25"/>
      <c r="M171" s="25"/>
      <c r="N171" s="25"/>
      <c r="O171" s="25"/>
      <c r="P171" s="25"/>
      <c r="Q171" s="25"/>
      <c r="R171" s="25"/>
      <c r="S171" s="25"/>
      <c r="T171" s="25"/>
      <c r="U171" s="25"/>
      <c r="V171" s="25"/>
      <c r="W171" s="25"/>
      <c r="X171" s="25"/>
      <c r="Y171" s="25"/>
      <c r="Z171" s="25"/>
      <c r="AA171" s="25"/>
      <c r="AB171" s="25"/>
      <c r="AC171" s="25"/>
      <c r="AD171" s="25"/>
      <c r="AE171" s="25"/>
      <c r="AF171" s="25"/>
      <c r="AG171" s="25"/>
    </row>
    <row r="172" spans="1:33">
      <c r="A172" s="21" t="str">
        <f ca="1">IFERROR(IF(Loan_Not_Paid*Values_Entered,Payment_Number,""), "")</f>
        <v/>
      </c>
      <c r="B172" s="22" t="str">
        <f ca="1">IFERROR(IF(Loan_Not_Paid*Values_Entered,Payment_Date,""), "")</f>
        <v/>
      </c>
      <c r="C172" s="23" t="str">
        <f ca="1">IFERROR(IF(Loan_Not_Paid*Values_Entered,Beginning_Balance,""), "")</f>
        <v/>
      </c>
      <c r="D172" s="23" t="str">
        <f ca="1">IFERROR(IF(Loan_Not_Paid*Values_Entered,Monthly_Payment,""), "")</f>
        <v/>
      </c>
      <c r="E172" s="23" t="str">
        <f ca="1">IFERROR(IF(Loan_Not_Paid*Values_Entered,Principal,""), "")</f>
        <v/>
      </c>
      <c r="F172" s="23" t="str">
        <f ca="1">IFERROR(IF(Loan_Not_Paid*Values_Entered,Interest,""), "")</f>
        <v/>
      </c>
      <c r="G172" s="23" t="str">
        <f ca="1">IFERROR(IF(Loan_Not_Paid*Values_Entered,Ending_Balance,""), "")</f>
        <v/>
      </c>
      <c r="I172" s="25"/>
      <c r="J172" s="25"/>
      <c r="K172" s="25"/>
      <c r="L172" s="25"/>
      <c r="M172" s="25"/>
      <c r="N172" s="25"/>
      <c r="O172" s="25"/>
      <c r="P172" s="25"/>
      <c r="Q172" s="25"/>
      <c r="R172" s="25"/>
      <c r="S172" s="25"/>
      <c r="T172" s="25"/>
      <c r="U172" s="25"/>
      <c r="V172" s="25"/>
      <c r="W172" s="25"/>
      <c r="X172" s="25"/>
      <c r="Y172" s="25"/>
      <c r="Z172" s="25"/>
      <c r="AA172" s="25"/>
      <c r="AB172" s="25"/>
      <c r="AC172" s="25"/>
      <c r="AD172" s="25"/>
      <c r="AE172" s="25"/>
      <c r="AF172" s="25"/>
      <c r="AG172" s="25"/>
    </row>
    <row r="173" spans="1:33">
      <c r="A173" s="21" t="str">
        <f ca="1">IFERROR(IF(Loan_Not_Paid*Values_Entered,Payment_Number,""), "")</f>
        <v/>
      </c>
      <c r="B173" s="22" t="str">
        <f ca="1">IFERROR(IF(Loan_Not_Paid*Values_Entered,Payment_Date,""), "")</f>
        <v/>
      </c>
      <c r="C173" s="23" t="str">
        <f ca="1">IFERROR(IF(Loan_Not_Paid*Values_Entered,Beginning_Balance,""), "")</f>
        <v/>
      </c>
      <c r="D173" s="23" t="str">
        <f ca="1">IFERROR(IF(Loan_Not_Paid*Values_Entered,Monthly_Payment,""), "")</f>
        <v/>
      </c>
      <c r="E173" s="23" t="str">
        <f ca="1">IFERROR(IF(Loan_Not_Paid*Values_Entered,Principal,""), "")</f>
        <v/>
      </c>
      <c r="F173" s="23" t="str">
        <f ca="1">IFERROR(IF(Loan_Not_Paid*Values_Entered,Interest,""), "")</f>
        <v/>
      </c>
      <c r="G173" s="23" t="str">
        <f ca="1">IFERROR(IF(Loan_Not_Paid*Values_Entered,Ending_Balance,""), "")</f>
        <v/>
      </c>
      <c r="I173" s="25"/>
      <c r="J173" s="25"/>
      <c r="K173" s="25"/>
      <c r="L173" s="25"/>
      <c r="M173" s="25"/>
      <c r="N173" s="25"/>
      <c r="O173" s="25"/>
      <c r="P173" s="25"/>
      <c r="Q173" s="25"/>
      <c r="R173" s="25"/>
      <c r="S173" s="25"/>
      <c r="T173" s="25"/>
      <c r="U173" s="25"/>
      <c r="V173" s="25"/>
      <c r="W173" s="25"/>
      <c r="X173" s="25"/>
      <c r="Y173" s="25"/>
      <c r="Z173" s="25"/>
      <c r="AA173" s="25"/>
      <c r="AB173" s="25"/>
      <c r="AC173" s="25"/>
      <c r="AD173" s="25"/>
      <c r="AE173" s="25"/>
      <c r="AF173" s="25"/>
      <c r="AG173" s="25"/>
    </row>
    <row r="174" spans="1:33">
      <c r="A174" s="21" t="str">
        <f ca="1">IFERROR(IF(Loan_Not_Paid*Values_Entered,Payment_Number,""), "")</f>
        <v/>
      </c>
      <c r="B174" s="22" t="str">
        <f ca="1">IFERROR(IF(Loan_Not_Paid*Values_Entered,Payment_Date,""), "")</f>
        <v/>
      </c>
      <c r="C174" s="23" t="str">
        <f ca="1">IFERROR(IF(Loan_Not_Paid*Values_Entered,Beginning_Balance,""), "")</f>
        <v/>
      </c>
      <c r="D174" s="23" t="str">
        <f ca="1">IFERROR(IF(Loan_Not_Paid*Values_Entered,Monthly_Payment,""), "")</f>
        <v/>
      </c>
      <c r="E174" s="23" t="str">
        <f ca="1">IFERROR(IF(Loan_Not_Paid*Values_Entered,Principal,""), "")</f>
        <v/>
      </c>
      <c r="F174" s="23" t="str">
        <f ca="1">IFERROR(IF(Loan_Not_Paid*Values_Entered,Interest,""), "")</f>
        <v/>
      </c>
      <c r="G174" s="23" t="str">
        <f ca="1">IFERROR(IF(Loan_Not_Paid*Values_Entered,Ending_Balance,""), "")</f>
        <v/>
      </c>
      <c r="I174" s="25"/>
      <c r="J174" s="25"/>
      <c r="K174" s="25"/>
      <c r="L174" s="25"/>
      <c r="M174" s="25"/>
      <c r="N174" s="25"/>
      <c r="O174" s="25"/>
      <c r="P174" s="25"/>
      <c r="Q174" s="25"/>
      <c r="R174" s="25"/>
      <c r="S174" s="25"/>
      <c r="T174" s="25"/>
      <c r="U174" s="25"/>
      <c r="V174" s="25"/>
      <c r="W174" s="25"/>
      <c r="X174" s="25"/>
      <c r="Y174" s="25"/>
      <c r="Z174" s="25"/>
      <c r="AA174" s="25"/>
      <c r="AB174" s="25"/>
      <c r="AC174" s="25"/>
      <c r="AD174" s="25"/>
      <c r="AE174" s="25"/>
      <c r="AF174" s="25"/>
      <c r="AG174" s="25"/>
    </row>
    <row r="175" spans="1:33">
      <c r="A175" s="21" t="str">
        <f ca="1">IFERROR(IF(Loan_Not_Paid*Values_Entered,Payment_Number,""), "")</f>
        <v/>
      </c>
      <c r="B175" s="22" t="str">
        <f ca="1">IFERROR(IF(Loan_Not_Paid*Values_Entered,Payment_Date,""), "")</f>
        <v/>
      </c>
      <c r="C175" s="23" t="str">
        <f ca="1">IFERROR(IF(Loan_Not_Paid*Values_Entered,Beginning_Balance,""), "")</f>
        <v/>
      </c>
      <c r="D175" s="23" t="str">
        <f ca="1">IFERROR(IF(Loan_Not_Paid*Values_Entered,Monthly_Payment,""), "")</f>
        <v/>
      </c>
      <c r="E175" s="23" t="str">
        <f ca="1">IFERROR(IF(Loan_Not_Paid*Values_Entered,Principal,""), "")</f>
        <v/>
      </c>
      <c r="F175" s="23" t="str">
        <f ca="1">IFERROR(IF(Loan_Not_Paid*Values_Entered,Interest,""), "")</f>
        <v/>
      </c>
      <c r="G175" s="23" t="str">
        <f ca="1">IFERROR(IF(Loan_Not_Paid*Values_Entered,Ending_Balance,""), "")</f>
        <v/>
      </c>
      <c r="I175" s="25"/>
      <c r="J175" s="25"/>
      <c r="K175" s="25"/>
      <c r="L175" s="25"/>
      <c r="M175" s="25"/>
      <c r="N175" s="25"/>
      <c r="O175" s="25"/>
      <c r="P175" s="25"/>
      <c r="Q175" s="25"/>
      <c r="R175" s="25"/>
      <c r="S175" s="25"/>
      <c r="T175" s="25"/>
      <c r="U175" s="25"/>
      <c r="V175" s="25"/>
      <c r="W175" s="25"/>
      <c r="X175" s="25"/>
      <c r="Y175" s="25"/>
      <c r="Z175" s="25"/>
      <c r="AA175" s="25"/>
      <c r="AB175" s="25"/>
      <c r="AC175" s="25"/>
      <c r="AD175" s="25"/>
      <c r="AE175" s="25"/>
      <c r="AF175" s="25"/>
      <c r="AG175" s="25"/>
    </row>
    <row r="176" spans="1:33">
      <c r="A176" s="21" t="str">
        <f ca="1">IFERROR(IF(Loan_Not_Paid*Values_Entered,Payment_Number,""), "")</f>
        <v/>
      </c>
      <c r="B176" s="22" t="str">
        <f ca="1">IFERROR(IF(Loan_Not_Paid*Values_Entered,Payment_Date,""), "")</f>
        <v/>
      </c>
      <c r="C176" s="23" t="str">
        <f ca="1">IFERROR(IF(Loan_Not_Paid*Values_Entered,Beginning_Balance,""), "")</f>
        <v/>
      </c>
      <c r="D176" s="23" t="str">
        <f ca="1">IFERROR(IF(Loan_Not_Paid*Values_Entered,Monthly_Payment,""), "")</f>
        <v/>
      </c>
      <c r="E176" s="23" t="str">
        <f ca="1">IFERROR(IF(Loan_Not_Paid*Values_Entered,Principal,""), "")</f>
        <v/>
      </c>
      <c r="F176" s="23" t="str">
        <f ca="1">IFERROR(IF(Loan_Not_Paid*Values_Entered,Interest,""), "")</f>
        <v/>
      </c>
      <c r="G176" s="23" t="str">
        <f ca="1">IFERROR(IF(Loan_Not_Paid*Values_Entered,Ending_Balance,""), "")</f>
        <v/>
      </c>
      <c r="I176" s="25"/>
      <c r="J176" s="25"/>
      <c r="K176" s="25"/>
      <c r="L176" s="25"/>
      <c r="M176" s="25"/>
      <c r="N176" s="25"/>
      <c r="O176" s="25"/>
      <c r="P176" s="25"/>
      <c r="Q176" s="25"/>
      <c r="R176" s="25"/>
      <c r="S176" s="25"/>
      <c r="T176" s="25"/>
      <c r="U176" s="25"/>
      <c r="V176" s="25"/>
      <c r="W176" s="25"/>
      <c r="X176" s="25"/>
      <c r="Y176" s="25"/>
      <c r="Z176" s="25"/>
      <c r="AA176" s="25"/>
      <c r="AB176" s="25"/>
      <c r="AC176" s="25"/>
      <c r="AD176" s="25"/>
      <c r="AE176" s="25"/>
      <c r="AF176" s="25"/>
      <c r="AG176" s="25"/>
    </row>
    <row r="177" spans="1:33">
      <c r="A177" s="21" t="str">
        <f ca="1">IFERROR(IF(Loan_Not_Paid*Values_Entered,Payment_Number,""), "")</f>
        <v/>
      </c>
      <c r="B177" s="22" t="str">
        <f ca="1">IFERROR(IF(Loan_Not_Paid*Values_Entered,Payment_Date,""), "")</f>
        <v/>
      </c>
      <c r="C177" s="23" t="str">
        <f ca="1">IFERROR(IF(Loan_Not_Paid*Values_Entered,Beginning_Balance,""), "")</f>
        <v/>
      </c>
      <c r="D177" s="23" t="str">
        <f ca="1">IFERROR(IF(Loan_Not_Paid*Values_Entered,Monthly_Payment,""), "")</f>
        <v/>
      </c>
      <c r="E177" s="23" t="str">
        <f ca="1">IFERROR(IF(Loan_Not_Paid*Values_Entered,Principal,""), "")</f>
        <v/>
      </c>
      <c r="F177" s="23" t="str">
        <f ca="1">IFERROR(IF(Loan_Not_Paid*Values_Entered,Interest,""), "")</f>
        <v/>
      </c>
      <c r="G177" s="23" t="str">
        <f ca="1">IFERROR(IF(Loan_Not_Paid*Values_Entered,Ending_Balance,""), "")</f>
        <v/>
      </c>
      <c r="I177" s="25"/>
      <c r="J177" s="25"/>
      <c r="K177" s="25"/>
      <c r="L177" s="25"/>
      <c r="M177" s="25"/>
      <c r="N177" s="25"/>
      <c r="O177" s="25"/>
      <c r="P177" s="25"/>
      <c r="Q177" s="25"/>
      <c r="R177" s="25"/>
      <c r="S177" s="25"/>
      <c r="T177" s="25"/>
      <c r="U177" s="25"/>
      <c r="V177" s="25"/>
      <c r="W177" s="25"/>
      <c r="X177" s="25"/>
      <c r="Y177" s="25"/>
      <c r="Z177" s="25"/>
      <c r="AA177" s="25"/>
      <c r="AB177" s="25"/>
      <c r="AC177" s="25"/>
      <c r="AD177" s="25"/>
      <c r="AE177" s="25"/>
      <c r="AF177" s="25"/>
      <c r="AG177" s="25"/>
    </row>
    <row r="178" spans="1:33">
      <c r="A178" s="21" t="str">
        <f ca="1">IFERROR(IF(Loan_Not_Paid*Values_Entered,Payment_Number,""), "")</f>
        <v/>
      </c>
      <c r="B178" s="22" t="str">
        <f ca="1">IFERROR(IF(Loan_Not_Paid*Values_Entered,Payment_Date,""), "")</f>
        <v/>
      </c>
      <c r="C178" s="23" t="str">
        <f ca="1">IFERROR(IF(Loan_Not_Paid*Values_Entered,Beginning_Balance,""), "")</f>
        <v/>
      </c>
      <c r="D178" s="23" t="str">
        <f ca="1">IFERROR(IF(Loan_Not_Paid*Values_Entered,Monthly_Payment,""), "")</f>
        <v/>
      </c>
      <c r="E178" s="23" t="str">
        <f ca="1">IFERROR(IF(Loan_Not_Paid*Values_Entered,Principal,""), "")</f>
        <v/>
      </c>
      <c r="F178" s="23" t="str">
        <f ca="1">IFERROR(IF(Loan_Not_Paid*Values_Entered,Interest,""), "")</f>
        <v/>
      </c>
      <c r="G178" s="23" t="str">
        <f ca="1">IFERROR(IF(Loan_Not_Paid*Values_Entered,Ending_Balance,""), "")</f>
        <v/>
      </c>
      <c r="I178" s="25"/>
      <c r="J178" s="25"/>
      <c r="K178" s="25"/>
      <c r="L178" s="25"/>
      <c r="M178" s="25"/>
      <c r="N178" s="25"/>
      <c r="O178" s="25"/>
      <c r="P178" s="25"/>
      <c r="Q178" s="25"/>
      <c r="R178" s="25"/>
      <c r="S178" s="25"/>
      <c r="T178" s="25"/>
      <c r="U178" s="25"/>
      <c r="V178" s="25"/>
      <c r="W178" s="25"/>
      <c r="X178" s="25"/>
      <c r="Y178" s="25"/>
      <c r="Z178" s="25"/>
      <c r="AA178" s="25"/>
      <c r="AB178" s="25"/>
      <c r="AC178" s="25"/>
      <c r="AD178" s="25"/>
      <c r="AE178" s="25"/>
      <c r="AF178" s="25"/>
      <c r="AG178" s="25"/>
    </row>
    <row r="179" spans="1:33">
      <c r="A179" s="21" t="str">
        <f ca="1">IFERROR(IF(Loan_Not_Paid*Values_Entered,Payment_Number,""), "")</f>
        <v/>
      </c>
      <c r="B179" s="22" t="str">
        <f ca="1">IFERROR(IF(Loan_Not_Paid*Values_Entered,Payment_Date,""), "")</f>
        <v/>
      </c>
      <c r="C179" s="23" t="str">
        <f ca="1">IFERROR(IF(Loan_Not_Paid*Values_Entered,Beginning_Balance,""), "")</f>
        <v/>
      </c>
      <c r="D179" s="23" t="str">
        <f ca="1">IFERROR(IF(Loan_Not_Paid*Values_Entered,Monthly_Payment,""), "")</f>
        <v/>
      </c>
      <c r="E179" s="23" t="str">
        <f ca="1">IFERROR(IF(Loan_Not_Paid*Values_Entered,Principal,""), "")</f>
        <v/>
      </c>
      <c r="F179" s="23" t="str">
        <f ca="1">IFERROR(IF(Loan_Not_Paid*Values_Entered,Interest,""), "")</f>
        <v/>
      </c>
      <c r="G179" s="23" t="str">
        <f ca="1">IFERROR(IF(Loan_Not_Paid*Values_Entered,Ending_Balance,""), "")</f>
        <v/>
      </c>
      <c r="I179" s="25"/>
      <c r="J179" s="25"/>
      <c r="K179" s="25"/>
      <c r="L179" s="25"/>
      <c r="M179" s="25"/>
      <c r="N179" s="25"/>
      <c r="O179" s="25"/>
      <c r="P179" s="25"/>
      <c r="Q179" s="25"/>
      <c r="R179" s="25"/>
      <c r="S179" s="25"/>
      <c r="T179" s="25"/>
      <c r="U179" s="25"/>
      <c r="V179" s="25"/>
      <c r="W179" s="25"/>
      <c r="X179" s="25"/>
      <c r="Y179" s="25"/>
      <c r="Z179" s="25"/>
      <c r="AA179" s="25"/>
      <c r="AB179" s="25"/>
      <c r="AC179" s="25"/>
      <c r="AD179" s="25"/>
      <c r="AE179" s="25"/>
      <c r="AF179" s="25"/>
      <c r="AG179" s="25"/>
    </row>
    <row r="180" spans="1:33">
      <c r="A180" s="21" t="str">
        <f ca="1">IFERROR(IF(Loan_Not_Paid*Values_Entered,Payment_Number,""), "")</f>
        <v/>
      </c>
      <c r="B180" s="22" t="str">
        <f ca="1">IFERROR(IF(Loan_Not_Paid*Values_Entered,Payment_Date,""), "")</f>
        <v/>
      </c>
      <c r="C180" s="23" t="str">
        <f ca="1">IFERROR(IF(Loan_Not_Paid*Values_Entered,Beginning_Balance,""), "")</f>
        <v/>
      </c>
      <c r="D180" s="23" t="str">
        <f ca="1">IFERROR(IF(Loan_Not_Paid*Values_Entered,Monthly_Payment,""), "")</f>
        <v/>
      </c>
      <c r="E180" s="23" t="str">
        <f ca="1">IFERROR(IF(Loan_Not_Paid*Values_Entered,Principal,""), "")</f>
        <v/>
      </c>
      <c r="F180" s="23" t="str">
        <f ca="1">IFERROR(IF(Loan_Not_Paid*Values_Entered,Interest,""), "")</f>
        <v/>
      </c>
      <c r="G180" s="23" t="str">
        <f ca="1">IFERROR(IF(Loan_Not_Paid*Values_Entered,Ending_Balance,""), "")</f>
        <v/>
      </c>
      <c r="I180" s="25"/>
      <c r="J180" s="25"/>
      <c r="K180" s="25"/>
      <c r="L180" s="25"/>
      <c r="M180" s="25"/>
      <c r="N180" s="25"/>
      <c r="O180" s="25"/>
      <c r="P180" s="25"/>
      <c r="Q180" s="25"/>
      <c r="R180" s="25"/>
      <c r="S180" s="25"/>
      <c r="T180" s="25"/>
      <c r="U180" s="25"/>
      <c r="V180" s="25"/>
      <c r="W180" s="25"/>
      <c r="X180" s="25"/>
      <c r="Y180" s="25"/>
      <c r="Z180" s="25"/>
      <c r="AA180" s="25"/>
      <c r="AB180" s="25"/>
      <c r="AC180" s="25"/>
      <c r="AD180" s="25"/>
      <c r="AE180" s="25"/>
      <c r="AF180" s="25"/>
      <c r="AG180" s="25"/>
    </row>
    <row r="181" spans="1:33">
      <c r="A181" s="21" t="str">
        <f ca="1">IFERROR(IF(Loan_Not_Paid*Values_Entered,Payment_Number,""), "")</f>
        <v/>
      </c>
      <c r="B181" s="22" t="str">
        <f ca="1">IFERROR(IF(Loan_Not_Paid*Values_Entered,Payment_Date,""), "")</f>
        <v/>
      </c>
      <c r="C181" s="23" t="str">
        <f ca="1">IFERROR(IF(Loan_Not_Paid*Values_Entered,Beginning_Balance,""), "")</f>
        <v/>
      </c>
      <c r="D181" s="23" t="str">
        <f ca="1">IFERROR(IF(Loan_Not_Paid*Values_Entered,Monthly_Payment,""), "")</f>
        <v/>
      </c>
      <c r="E181" s="23" t="str">
        <f ca="1">IFERROR(IF(Loan_Not_Paid*Values_Entered,Principal,""), "")</f>
        <v/>
      </c>
      <c r="F181" s="23" t="str">
        <f ca="1">IFERROR(IF(Loan_Not_Paid*Values_Entered,Interest,""), "")</f>
        <v/>
      </c>
      <c r="G181" s="23" t="str">
        <f ca="1">IFERROR(IF(Loan_Not_Paid*Values_Entered,Ending_Balance,""), "")</f>
        <v/>
      </c>
      <c r="I181" s="25"/>
      <c r="J181" s="25"/>
      <c r="K181" s="25"/>
      <c r="L181" s="25"/>
      <c r="M181" s="25"/>
      <c r="N181" s="25"/>
      <c r="O181" s="25"/>
      <c r="P181" s="25"/>
      <c r="Q181" s="25"/>
      <c r="R181" s="25"/>
      <c r="S181" s="25"/>
      <c r="T181" s="25"/>
      <c r="U181" s="25"/>
      <c r="V181" s="25"/>
      <c r="W181" s="25"/>
      <c r="X181" s="25"/>
      <c r="Y181" s="25"/>
      <c r="Z181" s="25"/>
      <c r="AA181" s="25"/>
      <c r="AB181" s="25"/>
      <c r="AC181" s="25"/>
      <c r="AD181" s="25"/>
      <c r="AE181" s="25"/>
      <c r="AF181" s="25"/>
      <c r="AG181" s="25"/>
    </row>
    <row r="182" spans="1:33">
      <c r="A182" s="21" t="str">
        <f ca="1">IFERROR(IF(Loan_Not_Paid*Values_Entered,Payment_Number,""), "")</f>
        <v/>
      </c>
      <c r="B182" s="22" t="str">
        <f ca="1">IFERROR(IF(Loan_Not_Paid*Values_Entered,Payment_Date,""), "")</f>
        <v/>
      </c>
      <c r="C182" s="23" t="str">
        <f ca="1">IFERROR(IF(Loan_Not_Paid*Values_Entered,Beginning_Balance,""), "")</f>
        <v/>
      </c>
      <c r="D182" s="23" t="str">
        <f ca="1">IFERROR(IF(Loan_Not_Paid*Values_Entered,Monthly_Payment,""), "")</f>
        <v/>
      </c>
      <c r="E182" s="23" t="str">
        <f ca="1">IFERROR(IF(Loan_Not_Paid*Values_Entered,Principal,""), "")</f>
        <v/>
      </c>
      <c r="F182" s="23" t="str">
        <f ca="1">IFERROR(IF(Loan_Not_Paid*Values_Entered,Interest,""), "")</f>
        <v/>
      </c>
      <c r="G182" s="23" t="str">
        <f ca="1">IFERROR(IF(Loan_Not_Paid*Values_Entered,Ending_Balance,""), "")</f>
        <v/>
      </c>
      <c r="I182" s="25"/>
      <c r="J182" s="25"/>
      <c r="K182" s="25"/>
      <c r="L182" s="25"/>
      <c r="M182" s="25"/>
      <c r="N182" s="25"/>
      <c r="O182" s="25"/>
      <c r="P182" s="25"/>
      <c r="Q182" s="25"/>
      <c r="R182" s="25"/>
      <c r="S182" s="25"/>
      <c r="T182" s="25"/>
      <c r="U182" s="25"/>
      <c r="V182" s="25"/>
      <c r="W182" s="25"/>
      <c r="X182" s="25"/>
      <c r="Y182" s="25"/>
      <c r="Z182" s="25"/>
      <c r="AA182" s="25"/>
      <c r="AB182" s="25"/>
      <c r="AC182" s="25"/>
      <c r="AD182" s="25"/>
      <c r="AE182" s="25"/>
      <c r="AF182" s="25"/>
      <c r="AG182" s="25"/>
    </row>
    <row r="183" spans="1:33">
      <c r="A183" s="21" t="str">
        <f ca="1">IFERROR(IF(Loan_Not_Paid*Values_Entered,Payment_Number,""), "")</f>
        <v/>
      </c>
      <c r="B183" s="22" t="str">
        <f ca="1">IFERROR(IF(Loan_Not_Paid*Values_Entered,Payment_Date,""), "")</f>
        <v/>
      </c>
      <c r="C183" s="23" t="str">
        <f ca="1">IFERROR(IF(Loan_Not_Paid*Values_Entered,Beginning_Balance,""), "")</f>
        <v/>
      </c>
      <c r="D183" s="23" t="str">
        <f ca="1">IFERROR(IF(Loan_Not_Paid*Values_Entered,Monthly_Payment,""), "")</f>
        <v/>
      </c>
      <c r="E183" s="23" t="str">
        <f ca="1">IFERROR(IF(Loan_Not_Paid*Values_Entered,Principal,""), "")</f>
        <v/>
      </c>
      <c r="F183" s="23" t="str">
        <f ca="1">IFERROR(IF(Loan_Not_Paid*Values_Entered,Interest,""), "")</f>
        <v/>
      </c>
      <c r="G183" s="23" t="str">
        <f ca="1">IFERROR(IF(Loan_Not_Paid*Values_Entered,Ending_Balance,""), "")</f>
        <v/>
      </c>
      <c r="I183" s="25"/>
      <c r="J183" s="25"/>
      <c r="K183" s="25"/>
      <c r="L183" s="25"/>
      <c r="M183" s="25"/>
      <c r="N183" s="25"/>
      <c r="O183" s="25"/>
      <c r="P183" s="25"/>
      <c r="Q183" s="25"/>
      <c r="R183" s="25"/>
      <c r="S183" s="25"/>
      <c r="T183" s="25"/>
      <c r="U183" s="25"/>
      <c r="V183" s="25"/>
      <c r="W183" s="25"/>
      <c r="X183" s="25"/>
      <c r="Y183" s="25"/>
      <c r="Z183" s="25"/>
      <c r="AA183" s="25"/>
      <c r="AB183" s="25"/>
      <c r="AC183" s="25"/>
      <c r="AD183" s="25"/>
      <c r="AE183" s="25"/>
      <c r="AF183" s="25"/>
      <c r="AG183" s="25"/>
    </row>
    <row r="184" spans="1:33">
      <c r="A184" s="21" t="str">
        <f ca="1">IFERROR(IF(Loan_Not_Paid*Values_Entered,Payment_Number,""), "")</f>
        <v/>
      </c>
      <c r="B184" s="22" t="str">
        <f ca="1">IFERROR(IF(Loan_Not_Paid*Values_Entered,Payment_Date,""), "")</f>
        <v/>
      </c>
      <c r="C184" s="23" t="str">
        <f ca="1">IFERROR(IF(Loan_Not_Paid*Values_Entered,Beginning_Balance,""), "")</f>
        <v/>
      </c>
      <c r="D184" s="23" t="str">
        <f ca="1">IFERROR(IF(Loan_Not_Paid*Values_Entered,Monthly_Payment,""), "")</f>
        <v/>
      </c>
      <c r="E184" s="23" t="str">
        <f ca="1">IFERROR(IF(Loan_Not_Paid*Values_Entered,Principal,""), "")</f>
        <v/>
      </c>
      <c r="F184" s="23" t="str">
        <f ca="1">IFERROR(IF(Loan_Not_Paid*Values_Entered,Interest,""), "")</f>
        <v/>
      </c>
      <c r="G184" s="23" t="str">
        <f ca="1">IFERROR(IF(Loan_Not_Paid*Values_Entered,Ending_Balance,""), "")</f>
        <v/>
      </c>
      <c r="I184" s="25"/>
      <c r="J184" s="25"/>
      <c r="K184" s="25"/>
      <c r="L184" s="25"/>
      <c r="M184" s="25"/>
      <c r="N184" s="25"/>
      <c r="O184" s="25"/>
      <c r="P184" s="25"/>
      <c r="Q184" s="25"/>
      <c r="R184" s="25"/>
      <c r="S184" s="25"/>
      <c r="T184" s="25"/>
      <c r="U184" s="25"/>
      <c r="V184" s="25"/>
      <c r="W184" s="25"/>
      <c r="X184" s="25"/>
      <c r="Y184" s="25"/>
      <c r="Z184" s="25"/>
      <c r="AA184" s="25"/>
      <c r="AB184" s="25"/>
      <c r="AC184" s="25"/>
      <c r="AD184" s="25"/>
      <c r="AE184" s="25"/>
      <c r="AF184" s="25"/>
      <c r="AG184" s="25"/>
    </row>
    <row r="185" spans="1:33">
      <c r="A185" s="21" t="str">
        <f ca="1">IFERROR(IF(Loan_Not_Paid*Values_Entered,Payment_Number,""), "")</f>
        <v/>
      </c>
      <c r="B185" s="22" t="str">
        <f ca="1">IFERROR(IF(Loan_Not_Paid*Values_Entered,Payment_Date,""), "")</f>
        <v/>
      </c>
      <c r="C185" s="23" t="str">
        <f ca="1">IFERROR(IF(Loan_Not_Paid*Values_Entered,Beginning_Balance,""), "")</f>
        <v/>
      </c>
      <c r="D185" s="23" t="str">
        <f ca="1">IFERROR(IF(Loan_Not_Paid*Values_Entered,Monthly_Payment,""), "")</f>
        <v/>
      </c>
      <c r="E185" s="23" t="str">
        <f ca="1">IFERROR(IF(Loan_Not_Paid*Values_Entered,Principal,""), "")</f>
        <v/>
      </c>
      <c r="F185" s="23" t="str">
        <f ca="1">IFERROR(IF(Loan_Not_Paid*Values_Entered,Interest,""), "")</f>
        <v/>
      </c>
      <c r="G185" s="23" t="str">
        <f ca="1">IFERROR(IF(Loan_Not_Paid*Values_Entered,Ending_Balance,""), "")</f>
        <v/>
      </c>
      <c r="I185" s="25"/>
      <c r="J185" s="25"/>
      <c r="K185" s="25"/>
      <c r="L185" s="25"/>
      <c r="M185" s="25"/>
      <c r="N185" s="25"/>
      <c r="O185" s="25"/>
      <c r="P185" s="25"/>
      <c r="Q185" s="25"/>
      <c r="R185" s="25"/>
      <c r="S185" s="25"/>
      <c r="T185" s="25"/>
      <c r="U185" s="25"/>
      <c r="V185" s="25"/>
      <c r="W185" s="25"/>
      <c r="X185" s="25"/>
      <c r="Y185" s="25"/>
      <c r="Z185" s="25"/>
      <c r="AA185" s="25"/>
      <c r="AB185" s="25"/>
      <c r="AC185" s="25"/>
      <c r="AD185" s="25"/>
      <c r="AE185" s="25"/>
      <c r="AF185" s="25"/>
      <c r="AG185" s="25"/>
    </row>
    <row r="186" spans="1:33">
      <c r="A186" s="21" t="str">
        <f ca="1">IFERROR(IF(Loan_Not_Paid*Values_Entered,Payment_Number,""), "")</f>
        <v/>
      </c>
      <c r="B186" s="22" t="str">
        <f ca="1">IFERROR(IF(Loan_Not_Paid*Values_Entered,Payment_Date,""), "")</f>
        <v/>
      </c>
      <c r="C186" s="23" t="str">
        <f ca="1">IFERROR(IF(Loan_Not_Paid*Values_Entered,Beginning_Balance,""), "")</f>
        <v/>
      </c>
      <c r="D186" s="23" t="str">
        <f ca="1">IFERROR(IF(Loan_Not_Paid*Values_Entered,Monthly_Payment,""), "")</f>
        <v/>
      </c>
      <c r="E186" s="23" t="str">
        <f ca="1">IFERROR(IF(Loan_Not_Paid*Values_Entered,Principal,""), "")</f>
        <v/>
      </c>
      <c r="F186" s="23" t="str">
        <f ca="1">IFERROR(IF(Loan_Not_Paid*Values_Entered,Interest,""), "")</f>
        <v/>
      </c>
      <c r="G186" s="23" t="str">
        <f ca="1">IFERROR(IF(Loan_Not_Paid*Values_Entered,Ending_Balance,""), "")</f>
        <v/>
      </c>
      <c r="I186" s="25"/>
      <c r="J186" s="25"/>
      <c r="K186" s="25"/>
      <c r="L186" s="25"/>
      <c r="M186" s="25"/>
      <c r="N186" s="25"/>
      <c r="O186" s="25"/>
      <c r="P186" s="25"/>
      <c r="Q186" s="25"/>
      <c r="R186" s="25"/>
      <c r="S186" s="25"/>
      <c r="T186" s="25"/>
      <c r="U186" s="25"/>
      <c r="V186" s="25"/>
      <c r="W186" s="25"/>
      <c r="X186" s="25"/>
      <c r="Y186" s="25"/>
      <c r="Z186" s="25"/>
      <c r="AA186" s="25"/>
      <c r="AB186" s="25"/>
      <c r="AC186" s="25"/>
      <c r="AD186" s="25"/>
      <c r="AE186" s="25"/>
      <c r="AF186" s="25"/>
      <c r="AG186" s="25"/>
    </row>
    <row r="187" spans="1:33">
      <c r="A187" s="21" t="str">
        <f ca="1">IFERROR(IF(Loan_Not_Paid*Values_Entered,Payment_Number,""), "")</f>
        <v/>
      </c>
      <c r="B187" s="22" t="str">
        <f ca="1">IFERROR(IF(Loan_Not_Paid*Values_Entered,Payment_Date,""), "")</f>
        <v/>
      </c>
      <c r="C187" s="23" t="str">
        <f ca="1">IFERROR(IF(Loan_Not_Paid*Values_Entered,Beginning_Balance,""), "")</f>
        <v/>
      </c>
      <c r="D187" s="23" t="str">
        <f ca="1">IFERROR(IF(Loan_Not_Paid*Values_Entered,Monthly_Payment,""), "")</f>
        <v/>
      </c>
      <c r="E187" s="23" t="str">
        <f ca="1">IFERROR(IF(Loan_Not_Paid*Values_Entered,Principal,""), "")</f>
        <v/>
      </c>
      <c r="F187" s="23" t="str">
        <f ca="1">IFERROR(IF(Loan_Not_Paid*Values_Entered,Interest,""), "")</f>
        <v/>
      </c>
      <c r="G187" s="23" t="str">
        <f ca="1">IFERROR(IF(Loan_Not_Paid*Values_Entered,Ending_Balance,""), "")</f>
        <v/>
      </c>
      <c r="I187" s="25"/>
      <c r="J187" s="25"/>
      <c r="K187" s="25"/>
      <c r="L187" s="25"/>
      <c r="M187" s="25"/>
      <c r="N187" s="25"/>
      <c r="O187" s="25"/>
      <c r="P187" s="25"/>
      <c r="Q187" s="25"/>
      <c r="R187" s="25"/>
      <c r="S187" s="25"/>
      <c r="T187" s="25"/>
      <c r="U187" s="25"/>
      <c r="V187" s="25"/>
      <c r="W187" s="25"/>
      <c r="X187" s="25"/>
      <c r="Y187" s="25"/>
      <c r="Z187" s="25"/>
      <c r="AA187" s="25"/>
      <c r="AB187" s="25"/>
      <c r="AC187" s="25"/>
      <c r="AD187" s="25"/>
      <c r="AE187" s="25"/>
      <c r="AF187" s="25"/>
      <c r="AG187" s="25"/>
    </row>
    <row r="188" spans="1:33">
      <c r="A188" s="21" t="str">
        <f ca="1">IFERROR(IF(Loan_Not_Paid*Values_Entered,Payment_Number,""), "")</f>
        <v/>
      </c>
      <c r="B188" s="22" t="str">
        <f ca="1">IFERROR(IF(Loan_Not_Paid*Values_Entered,Payment_Date,""), "")</f>
        <v/>
      </c>
      <c r="C188" s="23" t="str">
        <f ca="1">IFERROR(IF(Loan_Not_Paid*Values_Entered,Beginning_Balance,""), "")</f>
        <v/>
      </c>
      <c r="D188" s="23" t="str">
        <f ca="1">IFERROR(IF(Loan_Not_Paid*Values_Entered,Monthly_Payment,""), "")</f>
        <v/>
      </c>
      <c r="E188" s="23" t="str">
        <f ca="1">IFERROR(IF(Loan_Not_Paid*Values_Entered,Principal,""), "")</f>
        <v/>
      </c>
      <c r="F188" s="23" t="str">
        <f ca="1">IFERROR(IF(Loan_Not_Paid*Values_Entered,Interest,""), "")</f>
        <v/>
      </c>
      <c r="G188" s="23" t="str">
        <f ca="1">IFERROR(IF(Loan_Not_Paid*Values_Entered,Ending_Balance,""), "")</f>
        <v/>
      </c>
      <c r="I188" s="25"/>
      <c r="J188" s="25"/>
      <c r="K188" s="25"/>
      <c r="L188" s="25"/>
      <c r="M188" s="25"/>
      <c r="N188" s="25"/>
      <c r="O188" s="25"/>
      <c r="P188" s="25"/>
      <c r="Q188" s="25"/>
      <c r="R188" s="25"/>
      <c r="S188" s="25"/>
      <c r="T188" s="25"/>
      <c r="U188" s="25"/>
      <c r="V188" s="25"/>
      <c r="W188" s="25"/>
      <c r="X188" s="25"/>
      <c r="Y188" s="25"/>
      <c r="Z188" s="25"/>
      <c r="AA188" s="25"/>
      <c r="AB188" s="25"/>
      <c r="AC188" s="25"/>
      <c r="AD188" s="25"/>
      <c r="AE188" s="25"/>
      <c r="AF188" s="25"/>
      <c r="AG188" s="25"/>
    </row>
    <row r="189" spans="1:33">
      <c r="A189" s="21" t="str">
        <f ca="1">IFERROR(IF(Loan_Not_Paid*Values_Entered,Payment_Number,""), "")</f>
        <v/>
      </c>
      <c r="B189" s="22" t="str">
        <f ca="1">IFERROR(IF(Loan_Not_Paid*Values_Entered,Payment_Date,""), "")</f>
        <v/>
      </c>
      <c r="C189" s="23" t="str">
        <f ca="1">IFERROR(IF(Loan_Not_Paid*Values_Entered,Beginning_Balance,""), "")</f>
        <v/>
      </c>
      <c r="D189" s="23" t="str">
        <f ca="1">IFERROR(IF(Loan_Not_Paid*Values_Entered,Monthly_Payment,""), "")</f>
        <v/>
      </c>
      <c r="E189" s="23" t="str">
        <f ca="1">IFERROR(IF(Loan_Not_Paid*Values_Entered,Principal,""), "")</f>
        <v/>
      </c>
      <c r="F189" s="23" t="str">
        <f ca="1">IFERROR(IF(Loan_Not_Paid*Values_Entered,Interest,""), "")</f>
        <v/>
      </c>
      <c r="G189" s="23" t="str">
        <f ca="1">IFERROR(IF(Loan_Not_Paid*Values_Entered,Ending_Balance,""), "")</f>
        <v/>
      </c>
      <c r="I189" s="25"/>
      <c r="J189" s="25"/>
      <c r="K189" s="25"/>
      <c r="L189" s="25"/>
      <c r="M189" s="25"/>
      <c r="N189" s="25"/>
      <c r="O189" s="25"/>
      <c r="P189" s="25"/>
      <c r="Q189" s="25"/>
      <c r="R189" s="25"/>
      <c r="S189" s="25"/>
      <c r="T189" s="25"/>
      <c r="U189" s="25"/>
      <c r="V189" s="25"/>
      <c r="W189" s="25"/>
      <c r="X189" s="25"/>
      <c r="Y189" s="25"/>
      <c r="Z189" s="25"/>
      <c r="AA189" s="25"/>
      <c r="AB189" s="25"/>
      <c r="AC189" s="25"/>
      <c r="AD189" s="25"/>
      <c r="AE189" s="25"/>
      <c r="AF189" s="25"/>
      <c r="AG189" s="25"/>
    </row>
    <row r="190" spans="1:33">
      <c r="A190" s="21" t="str">
        <f ca="1">IFERROR(IF(Loan_Not_Paid*Values_Entered,Payment_Number,""), "")</f>
        <v/>
      </c>
      <c r="B190" s="22" t="str">
        <f ca="1">IFERROR(IF(Loan_Not_Paid*Values_Entered,Payment_Date,""), "")</f>
        <v/>
      </c>
      <c r="C190" s="23" t="str">
        <f ca="1">IFERROR(IF(Loan_Not_Paid*Values_Entered,Beginning_Balance,""), "")</f>
        <v/>
      </c>
      <c r="D190" s="23" t="str">
        <f ca="1">IFERROR(IF(Loan_Not_Paid*Values_Entered,Monthly_Payment,""), "")</f>
        <v/>
      </c>
      <c r="E190" s="23" t="str">
        <f ca="1">IFERROR(IF(Loan_Not_Paid*Values_Entered,Principal,""), "")</f>
        <v/>
      </c>
      <c r="F190" s="23" t="str">
        <f ca="1">IFERROR(IF(Loan_Not_Paid*Values_Entered,Interest,""), "")</f>
        <v/>
      </c>
      <c r="G190" s="23" t="str">
        <f ca="1">IFERROR(IF(Loan_Not_Paid*Values_Entered,Ending_Balance,""), "")</f>
        <v/>
      </c>
      <c r="I190" s="25"/>
      <c r="J190" s="25"/>
      <c r="K190" s="25"/>
      <c r="L190" s="25"/>
      <c r="M190" s="25"/>
      <c r="N190" s="25"/>
      <c r="O190" s="25"/>
      <c r="P190" s="25"/>
      <c r="Q190" s="25"/>
      <c r="R190" s="25"/>
      <c r="S190" s="25"/>
      <c r="T190" s="25"/>
      <c r="U190" s="25"/>
      <c r="V190" s="25"/>
      <c r="W190" s="25"/>
      <c r="X190" s="25"/>
      <c r="Y190" s="25"/>
      <c r="Z190" s="25"/>
      <c r="AA190" s="25"/>
      <c r="AB190" s="25"/>
      <c r="AC190" s="25"/>
      <c r="AD190" s="25"/>
      <c r="AE190" s="25"/>
      <c r="AF190" s="25"/>
      <c r="AG190" s="25"/>
    </row>
    <row r="191" spans="1:33">
      <c r="A191" s="21" t="str">
        <f ca="1">IFERROR(IF(Loan_Not_Paid*Values_Entered,Payment_Number,""), "")</f>
        <v/>
      </c>
      <c r="B191" s="22" t="str">
        <f ca="1">IFERROR(IF(Loan_Not_Paid*Values_Entered,Payment_Date,""), "")</f>
        <v/>
      </c>
      <c r="C191" s="23" t="str">
        <f ca="1">IFERROR(IF(Loan_Not_Paid*Values_Entered,Beginning_Balance,""), "")</f>
        <v/>
      </c>
      <c r="D191" s="23" t="str">
        <f ca="1">IFERROR(IF(Loan_Not_Paid*Values_Entered,Monthly_Payment,""), "")</f>
        <v/>
      </c>
      <c r="E191" s="23" t="str">
        <f ca="1">IFERROR(IF(Loan_Not_Paid*Values_Entered,Principal,""), "")</f>
        <v/>
      </c>
      <c r="F191" s="23" t="str">
        <f ca="1">IFERROR(IF(Loan_Not_Paid*Values_Entered,Interest,""), "")</f>
        <v/>
      </c>
      <c r="G191" s="23" t="str">
        <f ca="1">IFERROR(IF(Loan_Not_Paid*Values_Entered,Ending_Balance,""), "")</f>
        <v/>
      </c>
      <c r="I191" s="25"/>
      <c r="J191" s="25"/>
      <c r="K191" s="25"/>
      <c r="L191" s="25"/>
      <c r="M191" s="25"/>
      <c r="N191" s="25"/>
      <c r="O191" s="25"/>
      <c r="P191" s="25"/>
      <c r="Q191" s="25"/>
      <c r="R191" s="25"/>
      <c r="S191" s="25"/>
      <c r="T191" s="25"/>
      <c r="U191" s="25"/>
      <c r="V191" s="25"/>
      <c r="W191" s="25"/>
      <c r="X191" s="25"/>
      <c r="Y191" s="25"/>
      <c r="Z191" s="25"/>
      <c r="AA191" s="25"/>
      <c r="AB191" s="25"/>
      <c r="AC191" s="25"/>
      <c r="AD191" s="25"/>
      <c r="AE191" s="25"/>
      <c r="AF191" s="25"/>
      <c r="AG191" s="25"/>
    </row>
    <row r="192" spans="1:33">
      <c r="A192" s="21" t="str">
        <f ca="1">IFERROR(IF(Loan_Not_Paid*Values_Entered,Payment_Number,""), "")</f>
        <v/>
      </c>
      <c r="B192" s="22" t="str">
        <f ca="1">IFERROR(IF(Loan_Not_Paid*Values_Entered,Payment_Date,""), "")</f>
        <v/>
      </c>
      <c r="C192" s="23" t="str">
        <f ca="1">IFERROR(IF(Loan_Not_Paid*Values_Entered,Beginning_Balance,""), "")</f>
        <v/>
      </c>
      <c r="D192" s="23" t="str">
        <f ca="1">IFERROR(IF(Loan_Not_Paid*Values_Entered,Monthly_Payment,""), "")</f>
        <v/>
      </c>
      <c r="E192" s="23" t="str">
        <f ca="1">IFERROR(IF(Loan_Not_Paid*Values_Entered,Principal,""), "")</f>
        <v/>
      </c>
      <c r="F192" s="23" t="str">
        <f ca="1">IFERROR(IF(Loan_Not_Paid*Values_Entered,Interest,""), "")</f>
        <v/>
      </c>
      <c r="G192" s="23" t="str">
        <f ca="1">IFERROR(IF(Loan_Not_Paid*Values_Entered,Ending_Balance,""), "")</f>
        <v/>
      </c>
      <c r="I192" s="25"/>
      <c r="J192" s="25"/>
      <c r="K192" s="25"/>
      <c r="L192" s="25"/>
      <c r="M192" s="25"/>
      <c r="N192" s="25"/>
      <c r="O192" s="25"/>
      <c r="P192" s="25"/>
      <c r="Q192" s="25"/>
      <c r="R192" s="25"/>
      <c r="S192" s="25"/>
      <c r="T192" s="25"/>
      <c r="U192" s="25"/>
      <c r="V192" s="25"/>
      <c r="W192" s="25"/>
      <c r="X192" s="25"/>
      <c r="Y192" s="25"/>
      <c r="Z192" s="25"/>
      <c r="AA192" s="25"/>
      <c r="AB192" s="25"/>
      <c r="AC192" s="25"/>
      <c r="AD192" s="25"/>
      <c r="AE192" s="25"/>
      <c r="AF192" s="25"/>
      <c r="AG192" s="25"/>
    </row>
    <row r="193" spans="1:33">
      <c r="A193" s="21" t="str">
        <f ca="1">IFERROR(IF(Loan_Not_Paid*Values_Entered,Payment_Number,""), "")</f>
        <v/>
      </c>
      <c r="B193" s="22" t="str">
        <f ca="1">IFERROR(IF(Loan_Not_Paid*Values_Entered,Payment_Date,""), "")</f>
        <v/>
      </c>
      <c r="C193" s="23" t="str">
        <f ca="1">IFERROR(IF(Loan_Not_Paid*Values_Entered,Beginning_Balance,""), "")</f>
        <v/>
      </c>
      <c r="D193" s="23" t="str">
        <f ca="1">IFERROR(IF(Loan_Not_Paid*Values_Entered,Monthly_Payment,""), "")</f>
        <v/>
      </c>
      <c r="E193" s="23" t="str">
        <f ca="1">IFERROR(IF(Loan_Not_Paid*Values_Entered,Principal,""), "")</f>
        <v/>
      </c>
      <c r="F193" s="23" t="str">
        <f ca="1">IFERROR(IF(Loan_Not_Paid*Values_Entered,Interest,""), "")</f>
        <v/>
      </c>
      <c r="G193" s="23" t="str">
        <f ca="1">IFERROR(IF(Loan_Not_Paid*Values_Entered,Ending_Balance,""), "")</f>
        <v/>
      </c>
      <c r="I193" s="25"/>
      <c r="J193" s="25"/>
      <c r="K193" s="25"/>
      <c r="L193" s="25"/>
      <c r="M193" s="25"/>
      <c r="N193" s="25"/>
      <c r="O193" s="25"/>
      <c r="P193" s="25"/>
      <c r="Q193" s="25"/>
      <c r="R193" s="25"/>
      <c r="S193" s="25"/>
      <c r="T193" s="25"/>
      <c r="U193" s="25"/>
      <c r="V193" s="25"/>
      <c r="W193" s="25"/>
      <c r="X193" s="25"/>
      <c r="Y193" s="25"/>
      <c r="Z193" s="25"/>
      <c r="AA193" s="25"/>
      <c r="AB193" s="25"/>
      <c r="AC193" s="25"/>
      <c r="AD193" s="25"/>
      <c r="AE193" s="25"/>
      <c r="AF193" s="25"/>
      <c r="AG193" s="25"/>
    </row>
    <row r="194" spans="1:33">
      <c r="A194" s="21" t="str">
        <f ca="1">IFERROR(IF(Loan_Not_Paid*Values_Entered,Payment_Number,""), "")</f>
        <v/>
      </c>
      <c r="B194" s="22" t="str">
        <f ca="1">IFERROR(IF(Loan_Not_Paid*Values_Entered,Payment_Date,""), "")</f>
        <v/>
      </c>
      <c r="C194" s="23" t="str">
        <f ca="1">IFERROR(IF(Loan_Not_Paid*Values_Entered,Beginning_Balance,""), "")</f>
        <v/>
      </c>
      <c r="D194" s="23" t="str">
        <f ca="1">IFERROR(IF(Loan_Not_Paid*Values_Entered,Monthly_Payment,""), "")</f>
        <v/>
      </c>
      <c r="E194" s="23" t="str">
        <f ca="1">IFERROR(IF(Loan_Not_Paid*Values_Entered,Principal,""), "")</f>
        <v/>
      </c>
      <c r="F194" s="23" t="str">
        <f ca="1">IFERROR(IF(Loan_Not_Paid*Values_Entered,Interest,""), "")</f>
        <v/>
      </c>
      <c r="G194" s="23" t="str">
        <f ca="1">IFERROR(IF(Loan_Not_Paid*Values_Entered,Ending_Balance,""), "")</f>
        <v/>
      </c>
      <c r="I194" s="25"/>
      <c r="J194" s="25"/>
      <c r="K194" s="25"/>
      <c r="L194" s="25"/>
      <c r="M194" s="25"/>
      <c r="N194" s="25"/>
      <c r="O194" s="25"/>
      <c r="P194" s="25"/>
      <c r="Q194" s="25"/>
      <c r="R194" s="25"/>
      <c r="S194" s="25"/>
      <c r="T194" s="25"/>
      <c r="U194" s="25"/>
      <c r="V194" s="25"/>
      <c r="W194" s="25"/>
      <c r="X194" s="25"/>
      <c r="Y194" s="25"/>
      <c r="Z194" s="25"/>
      <c r="AA194" s="25"/>
      <c r="AB194" s="25"/>
      <c r="AC194" s="25"/>
      <c r="AD194" s="25"/>
      <c r="AE194" s="25"/>
      <c r="AF194" s="25"/>
      <c r="AG194" s="25"/>
    </row>
    <row r="195" spans="1:33">
      <c r="A195" s="21" t="str">
        <f ca="1">IFERROR(IF(Loan_Not_Paid*Values_Entered,Payment_Number,""), "")</f>
        <v/>
      </c>
      <c r="B195" s="22" t="str">
        <f ca="1">IFERROR(IF(Loan_Not_Paid*Values_Entered,Payment_Date,""), "")</f>
        <v/>
      </c>
      <c r="C195" s="23" t="str">
        <f ca="1">IFERROR(IF(Loan_Not_Paid*Values_Entered,Beginning_Balance,""), "")</f>
        <v/>
      </c>
      <c r="D195" s="23" t="str">
        <f ca="1">IFERROR(IF(Loan_Not_Paid*Values_Entered,Monthly_Payment,""), "")</f>
        <v/>
      </c>
      <c r="E195" s="23" t="str">
        <f ca="1">IFERROR(IF(Loan_Not_Paid*Values_Entered,Principal,""), "")</f>
        <v/>
      </c>
      <c r="F195" s="23" t="str">
        <f ca="1">IFERROR(IF(Loan_Not_Paid*Values_Entered,Interest,""), "")</f>
        <v/>
      </c>
      <c r="G195" s="23" t="str">
        <f ca="1">IFERROR(IF(Loan_Not_Paid*Values_Entered,Ending_Balance,""), "")</f>
        <v/>
      </c>
      <c r="I195" s="25"/>
      <c r="J195" s="25"/>
      <c r="K195" s="25"/>
      <c r="L195" s="25"/>
      <c r="M195" s="25"/>
      <c r="N195" s="25"/>
      <c r="O195" s="25"/>
      <c r="P195" s="25"/>
      <c r="Q195" s="25"/>
      <c r="R195" s="25"/>
      <c r="S195" s="25"/>
      <c r="T195" s="25"/>
      <c r="U195" s="25"/>
      <c r="V195" s="25"/>
      <c r="W195" s="25"/>
      <c r="X195" s="25"/>
      <c r="Y195" s="25"/>
      <c r="Z195" s="25"/>
      <c r="AA195" s="25"/>
      <c r="AB195" s="25"/>
      <c r="AC195" s="25"/>
      <c r="AD195" s="25"/>
      <c r="AE195" s="25"/>
      <c r="AF195" s="25"/>
      <c r="AG195" s="25"/>
    </row>
    <row r="196" spans="1:33">
      <c r="A196" s="21" t="str">
        <f ca="1">IFERROR(IF(Loan_Not_Paid*Values_Entered,Payment_Number,""), "")</f>
        <v/>
      </c>
      <c r="B196" s="22" t="str">
        <f ca="1">IFERROR(IF(Loan_Not_Paid*Values_Entered,Payment_Date,""), "")</f>
        <v/>
      </c>
      <c r="C196" s="23" t="str">
        <f ca="1">IFERROR(IF(Loan_Not_Paid*Values_Entered,Beginning_Balance,""), "")</f>
        <v/>
      </c>
      <c r="D196" s="23" t="str">
        <f ca="1">IFERROR(IF(Loan_Not_Paid*Values_Entered,Monthly_Payment,""), "")</f>
        <v/>
      </c>
      <c r="E196" s="23" t="str">
        <f ca="1">IFERROR(IF(Loan_Not_Paid*Values_Entered,Principal,""), "")</f>
        <v/>
      </c>
      <c r="F196" s="23" t="str">
        <f ca="1">IFERROR(IF(Loan_Not_Paid*Values_Entered,Interest,""), "")</f>
        <v/>
      </c>
      <c r="G196" s="23" t="str">
        <f ca="1">IFERROR(IF(Loan_Not_Paid*Values_Entered,Ending_Balance,""), "")</f>
        <v/>
      </c>
      <c r="I196" s="25"/>
      <c r="J196" s="25"/>
      <c r="K196" s="25"/>
      <c r="L196" s="25"/>
      <c r="M196" s="25"/>
      <c r="N196" s="25"/>
      <c r="O196" s="25"/>
      <c r="P196" s="25"/>
      <c r="Q196" s="25"/>
      <c r="R196" s="25"/>
      <c r="S196" s="25"/>
      <c r="T196" s="25"/>
      <c r="U196" s="25"/>
      <c r="V196" s="25"/>
      <c r="W196" s="25"/>
      <c r="X196" s="25"/>
      <c r="Y196" s="25"/>
      <c r="Z196" s="25"/>
      <c r="AA196" s="25"/>
      <c r="AB196" s="25"/>
      <c r="AC196" s="25"/>
      <c r="AD196" s="25"/>
      <c r="AE196" s="25"/>
      <c r="AF196" s="25"/>
      <c r="AG196" s="25"/>
    </row>
    <row r="197" spans="1:33">
      <c r="A197" s="21" t="str">
        <f ca="1">IFERROR(IF(Loan_Not_Paid*Values_Entered,Payment_Number,""), "")</f>
        <v/>
      </c>
      <c r="B197" s="22" t="str">
        <f ca="1">IFERROR(IF(Loan_Not_Paid*Values_Entered,Payment_Date,""), "")</f>
        <v/>
      </c>
      <c r="C197" s="23" t="str">
        <f ca="1">IFERROR(IF(Loan_Not_Paid*Values_Entered,Beginning_Balance,""), "")</f>
        <v/>
      </c>
      <c r="D197" s="23" t="str">
        <f ca="1">IFERROR(IF(Loan_Not_Paid*Values_Entered,Monthly_Payment,""), "")</f>
        <v/>
      </c>
      <c r="E197" s="23" t="str">
        <f ca="1">IFERROR(IF(Loan_Not_Paid*Values_Entered,Principal,""), "")</f>
        <v/>
      </c>
      <c r="F197" s="23" t="str">
        <f ca="1">IFERROR(IF(Loan_Not_Paid*Values_Entered,Interest,""), "")</f>
        <v/>
      </c>
      <c r="G197" s="23" t="str">
        <f ca="1">IFERROR(IF(Loan_Not_Paid*Values_Entered,Ending_Balance,""), "")</f>
        <v/>
      </c>
      <c r="I197" s="25"/>
      <c r="J197" s="25"/>
      <c r="K197" s="25"/>
      <c r="L197" s="25"/>
      <c r="M197" s="25"/>
      <c r="N197" s="25"/>
      <c r="O197" s="25"/>
      <c r="P197" s="25"/>
      <c r="Q197" s="25"/>
      <c r="R197" s="25"/>
      <c r="S197" s="25"/>
      <c r="T197" s="25"/>
      <c r="U197" s="25"/>
      <c r="V197" s="25"/>
      <c r="W197" s="25"/>
      <c r="X197" s="25"/>
      <c r="Y197" s="25"/>
      <c r="Z197" s="25"/>
      <c r="AA197" s="25"/>
      <c r="AB197" s="25"/>
      <c r="AC197" s="25"/>
      <c r="AD197" s="25"/>
      <c r="AE197" s="25"/>
      <c r="AF197" s="25"/>
      <c r="AG197" s="25"/>
    </row>
    <row r="198" spans="1:33">
      <c r="A198" s="21" t="str">
        <f ca="1">IFERROR(IF(Loan_Not_Paid*Values_Entered,Payment_Number,""), "")</f>
        <v/>
      </c>
      <c r="B198" s="22" t="str">
        <f ca="1">IFERROR(IF(Loan_Not_Paid*Values_Entered,Payment_Date,""), "")</f>
        <v/>
      </c>
      <c r="C198" s="23" t="str">
        <f ca="1">IFERROR(IF(Loan_Not_Paid*Values_Entered,Beginning_Balance,""), "")</f>
        <v/>
      </c>
      <c r="D198" s="23" t="str">
        <f ca="1">IFERROR(IF(Loan_Not_Paid*Values_Entered,Monthly_Payment,""), "")</f>
        <v/>
      </c>
      <c r="E198" s="23" t="str">
        <f ca="1">IFERROR(IF(Loan_Not_Paid*Values_Entered,Principal,""), "")</f>
        <v/>
      </c>
      <c r="F198" s="23" t="str">
        <f ca="1">IFERROR(IF(Loan_Not_Paid*Values_Entered,Interest,""), "")</f>
        <v/>
      </c>
      <c r="G198" s="23" t="str">
        <f ca="1">IFERROR(IF(Loan_Not_Paid*Values_Entered,Ending_Balance,""), "")</f>
        <v/>
      </c>
      <c r="I198" s="25"/>
      <c r="J198" s="25"/>
      <c r="K198" s="25"/>
      <c r="L198" s="25"/>
      <c r="M198" s="25"/>
      <c r="N198" s="25"/>
      <c r="O198" s="25"/>
      <c r="P198" s="25"/>
      <c r="Q198" s="25"/>
      <c r="R198" s="25"/>
      <c r="S198" s="25"/>
      <c r="T198" s="25"/>
      <c r="U198" s="25"/>
      <c r="V198" s="25"/>
      <c r="W198" s="25"/>
      <c r="X198" s="25"/>
      <c r="Y198" s="25"/>
      <c r="Z198" s="25"/>
      <c r="AA198" s="25"/>
      <c r="AB198" s="25"/>
      <c r="AC198" s="25"/>
      <c r="AD198" s="25"/>
      <c r="AE198" s="25"/>
      <c r="AF198" s="25"/>
      <c r="AG198" s="25"/>
    </row>
    <row r="199" spans="1:33">
      <c r="A199" s="21" t="str">
        <f ca="1">IFERROR(IF(Loan_Not_Paid*Values_Entered,Payment_Number,""), "")</f>
        <v/>
      </c>
      <c r="B199" s="22" t="str">
        <f ca="1">IFERROR(IF(Loan_Not_Paid*Values_Entered,Payment_Date,""), "")</f>
        <v/>
      </c>
      <c r="C199" s="23" t="str">
        <f ca="1">IFERROR(IF(Loan_Not_Paid*Values_Entered,Beginning_Balance,""), "")</f>
        <v/>
      </c>
      <c r="D199" s="23" t="str">
        <f ca="1">IFERROR(IF(Loan_Not_Paid*Values_Entered,Monthly_Payment,""), "")</f>
        <v/>
      </c>
      <c r="E199" s="23" t="str">
        <f ca="1">IFERROR(IF(Loan_Not_Paid*Values_Entered,Principal,""), "")</f>
        <v/>
      </c>
      <c r="F199" s="23" t="str">
        <f ca="1">IFERROR(IF(Loan_Not_Paid*Values_Entered,Interest,""), "")</f>
        <v/>
      </c>
      <c r="G199" s="23" t="str">
        <f ca="1">IFERROR(IF(Loan_Not_Paid*Values_Entered,Ending_Balance,""), "")</f>
        <v/>
      </c>
      <c r="I199" s="25"/>
      <c r="J199" s="25"/>
      <c r="K199" s="25"/>
      <c r="L199" s="25"/>
      <c r="M199" s="25"/>
      <c r="N199" s="25"/>
      <c r="O199" s="25"/>
      <c r="P199" s="25"/>
      <c r="Q199" s="25"/>
      <c r="R199" s="25"/>
      <c r="S199" s="25"/>
      <c r="T199" s="25"/>
      <c r="U199" s="25"/>
      <c r="V199" s="25"/>
      <c r="W199" s="25"/>
      <c r="X199" s="25"/>
      <c r="Y199" s="25"/>
      <c r="Z199" s="25"/>
      <c r="AA199" s="25"/>
      <c r="AB199" s="25"/>
      <c r="AC199" s="25"/>
      <c r="AD199" s="25"/>
      <c r="AE199" s="25"/>
      <c r="AF199" s="25"/>
      <c r="AG199" s="25"/>
    </row>
    <row r="200" spans="1:33">
      <c r="A200" s="21" t="str">
        <f ca="1">IFERROR(IF(Loan_Not_Paid*Values_Entered,Payment_Number,""), "")</f>
        <v/>
      </c>
      <c r="B200" s="22" t="str">
        <f ca="1">IFERROR(IF(Loan_Not_Paid*Values_Entered,Payment_Date,""), "")</f>
        <v/>
      </c>
      <c r="C200" s="23" t="str">
        <f ca="1">IFERROR(IF(Loan_Not_Paid*Values_Entered,Beginning_Balance,""), "")</f>
        <v/>
      </c>
      <c r="D200" s="23" t="str">
        <f ca="1">IFERROR(IF(Loan_Not_Paid*Values_Entered,Monthly_Payment,""), "")</f>
        <v/>
      </c>
      <c r="E200" s="23" t="str">
        <f ca="1">IFERROR(IF(Loan_Not_Paid*Values_Entered,Principal,""), "")</f>
        <v/>
      </c>
      <c r="F200" s="23" t="str">
        <f ca="1">IFERROR(IF(Loan_Not_Paid*Values_Entered,Interest,""), "")</f>
        <v/>
      </c>
      <c r="G200" s="23" t="str">
        <f ca="1">IFERROR(IF(Loan_Not_Paid*Values_Entered,Ending_Balance,""), "")</f>
        <v/>
      </c>
      <c r="I200" s="25"/>
      <c r="J200" s="25"/>
      <c r="K200" s="25"/>
      <c r="L200" s="25"/>
      <c r="M200" s="25"/>
      <c r="N200" s="25"/>
      <c r="O200" s="25"/>
      <c r="P200" s="25"/>
      <c r="Q200" s="25"/>
      <c r="R200" s="25"/>
      <c r="S200" s="25"/>
      <c r="T200" s="25"/>
      <c r="U200" s="25"/>
      <c r="V200" s="25"/>
      <c r="W200" s="25"/>
      <c r="X200" s="25"/>
      <c r="Y200" s="25"/>
      <c r="Z200" s="25"/>
      <c r="AA200" s="25"/>
      <c r="AB200" s="25"/>
      <c r="AC200" s="25"/>
      <c r="AD200" s="25"/>
      <c r="AE200" s="25"/>
      <c r="AF200" s="25"/>
      <c r="AG200" s="25"/>
    </row>
    <row r="201" spans="1:33">
      <c r="A201" s="21" t="str">
        <f ca="1">IFERROR(IF(Loan_Not_Paid*Values_Entered,Payment_Number,""), "")</f>
        <v/>
      </c>
      <c r="B201" s="22" t="str">
        <f ca="1">IFERROR(IF(Loan_Not_Paid*Values_Entered,Payment_Date,""), "")</f>
        <v/>
      </c>
      <c r="C201" s="23" t="str">
        <f ca="1">IFERROR(IF(Loan_Not_Paid*Values_Entered,Beginning_Balance,""), "")</f>
        <v/>
      </c>
      <c r="D201" s="23" t="str">
        <f ca="1">IFERROR(IF(Loan_Not_Paid*Values_Entered,Monthly_Payment,""), "")</f>
        <v/>
      </c>
      <c r="E201" s="23" t="str">
        <f ca="1">IFERROR(IF(Loan_Not_Paid*Values_Entered,Principal,""), "")</f>
        <v/>
      </c>
      <c r="F201" s="23" t="str">
        <f ca="1">IFERROR(IF(Loan_Not_Paid*Values_Entered,Interest,""), "")</f>
        <v/>
      </c>
      <c r="G201" s="23" t="str">
        <f ca="1">IFERROR(IF(Loan_Not_Paid*Values_Entered,Ending_Balance,""), "")</f>
        <v/>
      </c>
      <c r="I201" s="25"/>
      <c r="J201" s="25"/>
      <c r="K201" s="25"/>
      <c r="L201" s="25"/>
      <c r="M201" s="25"/>
      <c r="N201" s="25"/>
      <c r="O201" s="25"/>
      <c r="P201" s="25"/>
      <c r="Q201" s="25"/>
      <c r="R201" s="25"/>
      <c r="S201" s="25"/>
      <c r="T201" s="25"/>
      <c r="U201" s="25"/>
      <c r="V201" s="25"/>
      <c r="W201" s="25"/>
      <c r="X201" s="25"/>
      <c r="Y201" s="25"/>
      <c r="Z201" s="25"/>
      <c r="AA201" s="25"/>
      <c r="AB201" s="25"/>
      <c r="AC201" s="25"/>
      <c r="AD201" s="25"/>
      <c r="AE201" s="25"/>
      <c r="AF201" s="25"/>
      <c r="AG201" s="25"/>
    </row>
    <row r="202" spans="1:33">
      <c r="A202" s="21" t="str">
        <f ca="1">IFERROR(IF(Loan_Not_Paid*Values_Entered,Payment_Number,""), "")</f>
        <v/>
      </c>
      <c r="B202" s="22" t="str">
        <f ca="1">IFERROR(IF(Loan_Not_Paid*Values_Entered,Payment_Date,""), "")</f>
        <v/>
      </c>
      <c r="C202" s="23" t="str">
        <f ca="1">IFERROR(IF(Loan_Not_Paid*Values_Entered,Beginning_Balance,""), "")</f>
        <v/>
      </c>
      <c r="D202" s="23" t="str">
        <f ca="1">IFERROR(IF(Loan_Not_Paid*Values_Entered,Monthly_Payment,""), "")</f>
        <v/>
      </c>
      <c r="E202" s="23" t="str">
        <f ca="1">IFERROR(IF(Loan_Not_Paid*Values_Entered,Principal,""), "")</f>
        <v/>
      </c>
      <c r="F202" s="23" t="str">
        <f ca="1">IFERROR(IF(Loan_Not_Paid*Values_Entered,Interest,""), "")</f>
        <v/>
      </c>
      <c r="G202" s="23" t="str">
        <f ca="1">IFERROR(IF(Loan_Not_Paid*Values_Entered,Ending_Balance,""), "")</f>
        <v/>
      </c>
      <c r="I202" s="25"/>
      <c r="J202" s="25"/>
      <c r="K202" s="25"/>
      <c r="L202" s="25"/>
      <c r="M202" s="25"/>
      <c r="N202" s="25"/>
      <c r="O202" s="25"/>
      <c r="P202" s="25"/>
      <c r="Q202" s="25"/>
      <c r="R202" s="25"/>
      <c r="S202" s="25"/>
      <c r="T202" s="25"/>
      <c r="U202" s="25"/>
      <c r="V202" s="25"/>
      <c r="W202" s="25"/>
      <c r="X202" s="25"/>
      <c r="Y202" s="25"/>
      <c r="Z202" s="25"/>
      <c r="AA202" s="25"/>
      <c r="AB202" s="25"/>
      <c r="AC202" s="25"/>
      <c r="AD202" s="25"/>
      <c r="AE202" s="25"/>
      <c r="AF202" s="25"/>
      <c r="AG202" s="25"/>
    </row>
    <row r="203" spans="1:33">
      <c r="A203" s="21" t="str">
        <f ca="1">IFERROR(IF(Loan_Not_Paid*Values_Entered,Payment_Number,""), "")</f>
        <v/>
      </c>
      <c r="B203" s="22" t="str">
        <f ca="1">IFERROR(IF(Loan_Not_Paid*Values_Entered,Payment_Date,""), "")</f>
        <v/>
      </c>
      <c r="C203" s="23" t="str">
        <f ca="1">IFERROR(IF(Loan_Not_Paid*Values_Entered,Beginning_Balance,""), "")</f>
        <v/>
      </c>
      <c r="D203" s="23" t="str">
        <f ca="1">IFERROR(IF(Loan_Not_Paid*Values_Entered,Monthly_Payment,""), "")</f>
        <v/>
      </c>
      <c r="E203" s="23" t="str">
        <f ca="1">IFERROR(IF(Loan_Not_Paid*Values_Entered,Principal,""), "")</f>
        <v/>
      </c>
      <c r="F203" s="23" t="str">
        <f ca="1">IFERROR(IF(Loan_Not_Paid*Values_Entered,Interest,""), "")</f>
        <v/>
      </c>
      <c r="G203" s="23" t="str">
        <f ca="1">IFERROR(IF(Loan_Not_Paid*Values_Entered,Ending_Balance,""), "")</f>
        <v/>
      </c>
      <c r="I203" s="25"/>
      <c r="J203" s="25"/>
      <c r="K203" s="25"/>
      <c r="L203" s="25"/>
      <c r="M203" s="25"/>
      <c r="N203" s="25"/>
      <c r="O203" s="25"/>
      <c r="P203" s="25"/>
      <c r="Q203" s="25"/>
      <c r="R203" s="25"/>
      <c r="S203" s="25"/>
      <c r="T203" s="25"/>
      <c r="U203" s="25"/>
      <c r="V203" s="25"/>
      <c r="W203" s="25"/>
      <c r="X203" s="25"/>
      <c r="Y203" s="25"/>
      <c r="Z203" s="25"/>
      <c r="AA203" s="25"/>
      <c r="AB203" s="25"/>
      <c r="AC203" s="25"/>
      <c r="AD203" s="25"/>
      <c r="AE203" s="25"/>
      <c r="AF203" s="25"/>
      <c r="AG203" s="25"/>
    </row>
    <row r="204" spans="1:33">
      <c r="A204" s="21" t="str">
        <f ca="1">IFERROR(IF(Loan_Not_Paid*Values_Entered,Payment_Number,""), "")</f>
        <v/>
      </c>
      <c r="B204" s="22" t="str">
        <f ca="1">IFERROR(IF(Loan_Not_Paid*Values_Entered,Payment_Date,""), "")</f>
        <v/>
      </c>
      <c r="C204" s="23" t="str">
        <f ca="1">IFERROR(IF(Loan_Not_Paid*Values_Entered,Beginning_Balance,""), "")</f>
        <v/>
      </c>
      <c r="D204" s="23" t="str">
        <f ca="1">IFERROR(IF(Loan_Not_Paid*Values_Entered,Monthly_Payment,""), "")</f>
        <v/>
      </c>
      <c r="E204" s="23" t="str">
        <f ca="1">IFERROR(IF(Loan_Not_Paid*Values_Entered,Principal,""), "")</f>
        <v/>
      </c>
      <c r="F204" s="23" t="str">
        <f ca="1">IFERROR(IF(Loan_Not_Paid*Values_Entered,Interest,""), "")</f>
        <v/>
      </c>
      <c r="G204" s="23" t="str">
        <f ca="1">IFERROR(IF(Loan_Not_Paid*Values_Entered,Ending_Balance,""), "")</f>
        <v/>
      </c>
      <c r="I204" s="25"/>
      <c r="J204" s="25"/>
      <c r="K204" s="25"/>
      <c r="L204" s="25"/>
      <c r="M204" s="25"/>
      <c r="N204" s="25"/>
      <c r="O204" s="25"/>
      <c r="P204" s="25"/>
      <c r="Q204" s="25"/>
      <c r="R204" s="25"/>
      <c r="S204" s="25"/>
      <c r="T204" s="25"/>
      <c r="U204" s="25"/>
      <c r="V204" s="25"/>
      <c r="W204" s="25"/>
      <c r="X204" s="25"/>
      <c r="Y204" s="25"/>
      <c r="Z204" s="25"/>
      <c r="AA204" s="25"/>
      <c r="AB204" s="25"/>
      <c r="AC204" s="25"/>
      <c r="AD204" s="25"/>
      <c r="AE204" s="25"/>
      <c r="AF204" s="25"/>
      <c r="AG204" s="25"/>
    </row>
    <row r="205" spans="1:33">
      <c r="A205" s="21" t="str">
        <f ca="1">IFERROR(IF(Loan_Not_Paid*Values_Entered,Payment_Number,""), "")</f>
        <v/>
      </c>
      <c r="B205" s="22" t="str">
        <f ca="1">IFERROR(IF(Loan_Not_Paid*Values_Entered,Payment_Date,""), "")</f>
        <v/>
      </c>
      <c r="C205" s="23" t="str">
        <f ca="1">IFERROR(IF(Loan_Not_Paid*Values_Entered,Beginning_Balance,""), "")</f>
        <v/>
      </c>
      <c r="D205" s="23" t="str">
        <f ca="1">IFERROR(IF(Loan_Not_Paid*Values_Entered,Monthly_Payment,""), "")</f>
        <v/>
      </c>
      <c r="E205" s="23" t="str">
        <f ca="1">IFERROR(IF(Loan_Not_Paid*Values_Entered,Principal,""), "")</f>
        <v/>
      </c>
      <c r="F205" s="23" t="str">
        <f ca="1">IFERROR(IF(Loan_Not_Paid*Values_Entered,Interest,""), "")</f>
        <v/>
      </c>
      <c r="G205" s="23" t="str">
        <f ca="1">IFERROR(IF(Loan_Not_Paid*Values_Entered,Ending_Balance,""), "")</f>
        <v/>
      </c>
      <c r="I205" s="25"/>
      <c r="J205" s="25"/>
      <c r="K205" s="25"/>
      <c r="L205" s="25"/>
      <c r="M205" s="25"/>
      <c r="N205" s="25"/>
      <c r="O205" s="25"/>
      <c r="P205" s="25"/>
      <c r="Q205" s="25"/>
      <c r="R205" s="25"/>
      <c r="S205" s="25"/>
      <c r="T205" s="25"/>
      <c r="U205" s="25"/>
      <c r="V205" s="25"/>
      <c r="W205" s="25"/>
      <c r="X205" s="25"/>
      <c r="Y205" s="25"/>
      <c r="Z205" s="25"/>
      <c r="AA205" s="25"/>
      <c r="AB205" s="25"/>
      <c r="AC205" s="25"/>
      <c r="AD205" s="25"/>
      <c r="AE205" s="25"/>
      <c r="AF205" s="25"/>
      <c r="AG205" s="25"/>
    </row>
    <row r="206" spans="1:33">
      <c r="A206" s="21" t="str">
        <f ca="1">IFERROR(IF(Loan_Not_Paid*Values_Entered,Payment_Number,""), "")</f>
        <v/>
      </c>
      <c r="B206" s="22" t="str">
        <f ca="1">IFERROR(IF(Loan_Not_Paid*Values_Entered,Payment_Date,""), "")</f>
        <v/>
      </c>
      <c r="C206" s="23" t="str">
        <f ca="1">IFERROR(IF(Loan_Not_Paid*Values_Entered,Beginning_Balance,""), "")</f>
        <v/>
      </c>
      <c r="D206" s="23" t="str">
        <f ca="1">IFERROR(IF(Loan_Not_Paid*Values_Entered,Monthly_Payment,""), "")</f>
        <v/>
      </c>
      <c r="E206" s="23" t="str">
        <f ca="1">IFERROR(IF(Loan_Not_Paid*Values_Entered,Principal,""), "")</f>
        <v/>
      </c>
      <c r="F206" s="23" t="str">
        <f ca="1">IFERROR(IF(Loan_Not_Paid*Values_Entered,Interest,""), "")</f>
        <v/>
      </c>
      <c r="G206" s="23" t="str">
        <f ca="1">IFERROR(IF(Loan_Not_Paid*Values_Entered,Ending_Balance,""), "")</f>
        <v/>
      </c>
      <c r="I206" s="25"/>
      <c r="J206" s="25"/>
      <c r="K206" s="25"/>
      <c r="L206" s="25"/>
      <c r="M206" s="25"/>
      <c r="N206" s="25"/>
      <c r="O206" s="25"/>
      <c r="P206" s="25"/>
      <c r="Q206" s="25"/>
      <c r="R206" s="25"/>
      <c r="S206" s="25"/>
      <c r="T206" s="25"/>
      <c r="U206" s="25"/>
      <c r="V206" s="25"/>
      <c r="W206" s="25"/>
      <c r="X206" s="25"/>
      <c r="Y206" s="25"/>
      <c r="Z206" s="25"/>
      <c r="AA206" s="25"/>
      <c r="AB206" s="25"/>
      <c r="AC206" s="25"/>
      <c r="AD206" s="25"/>
      <c r="AE206" s="25"/>
      <c r="AF206" s="25"/>
      <c r="AG206" s="25"/>
    </row>
    <row r="207" spans="1:33">
      <c r="A207" s="21" t="str">
        <f ca="1">IFERROR(IF(Loan_Not_Paid*Values_Entered,Payment_Number,""), "")</f>
        <v/>
      </c>
      <c r="B207" s="22" t="str">
        <f ca="1">IFERROR(IF(Loan_Not_Paid*Values_Entered,Payment_Date,""), "")</f>
        <v/>
      </c>
      <c r="C207" s="23" t="str">
        <f ca="1">IFERROR(IF(Loan_Not_Paid*Values_Entered,Beginning_Balance,""), "")</f>
        <v/>
      </c>
      <c r="D207" s="23" t="str">
        <f ca="1">IFERROR(IF(Loan_Not_Paid*Values_Entered,Monthly_Payment,""), "")</f>
        <v/>
      </c>
      <c r="E207" s="23" t="str">
        <f ca="1">IFERROR(IF(Loan_Not_Paid*Values_Entered,Principal,""), "")</f>
        <v/>
      </c>
      <c r="F207" s="23" t="str">
        <f ca="1">IFERROR(IF(Loan_Not_Paid*Values_Entered,Interest,""), "")</f>
        <v/>
      </c>
      <c r="G207" s="23" t="str">
        <f ca="1">IFERROR(IF(Loan_Not_Paid*Values_Entered,Ending_Balance,""), "")</f>
        <v/>
      </c>
      <c r="I207" s="25"/>
      <c r="J207" s="25"/>
      <c r="K207" s="25"/>
      <c r="L207" s="25"/>
      <c r="M207" s="25"/>
      <c r="N207" s="25"/>
      <c r="O207" s="25"/>
      <c r="P207" s="25"/>
      <c r="Q207" s="25"/>
      <c r="R207" s="25"/>
      <c r="S207" s="25"/>
      <c r="T207" s="25"/>
      <c r="U207" s="25"/>
      <c r="V207" s="25"/>
      <c r="W207" s="25"/>
      <c r="X207" s="25"/>
      <c r="Y207" s="25"/>
      <c r="Z207" s="25"/>
      <c r="AA207" s="25"/>
      <c r="AB207" s="25"/>
      <c r="AC207" s="25"/>
      <c r="AD207" s="25"/>
      <c r="AE207" s="25"/>
      <c r="AF207" s="25"/>
      <c r="AG207" s="25"/>
    </row>
    <row r="208" spans="1:33">
      <c r="A208" s="21" t="str">
        <f ca="1">IFERROR(IF(Loan_Not_Paid*Values_Entered,Payment_Number,""), "")</f>
        <v/>
      </c>
      <c r="B208" s="22" t="str">
        <f ca="1">IFERROR(IF(Loan_Not_Paid*Values_Entered,Payment_Date,""), "")</f>
        <v/>
      </c>
      <c r="C208" s="23" t="str">
        <f ca="1">IFERROR(IF(Loan_Not_Paid*Values_Entered,Beginning_Balance,""), "")</f>
        <v/>
      </c>
      <c r="D208" s="23" t="str">
        <f ca="1">IFERROR(IF(Loan_Not_Paid*Values_Entered,Monthly_Payment,""), "")</f>
        <v/>
      </c>
      <c r="E208" s="23" t="str">
        <f ca="1">IFERROR(IF(Loan_Not_Paid*Values_Entered,Principal,""), "")</f>
        <v/>
      </c>
      <c r="F208" s="23" t="str">
        <f ca="1">IFERROR(IF(Loan_Not_Paid*Values_Entered,Interest,""), "")</f>
        <v/>
      </c>
      <c r="G208" s="23" t="str">
        <f ca="1">IFERROR(IF(Loan_Not_Paid*Values_Entered,Ending_Balance,""), "")</f>
        <v/>
      </c>
      <c r="I208" s="25"/>
      <c r="J208" s="25"/>
      <c r="K208" s="25"/>
      <c r="L208" s="25"/>
      <c r="M208" s="25"/>
      <c r="N208" s="25"/>
      <c r="O208" s="25"/>
      <c r="P208" s="25"/>
      <c r="Q208" s="25"/>
      <c r="R208" s="25"/>
      <c r="S208" s="25"/>
      <c r="T208" s="25"/>
      <c r="U208" s="25"/>
      <c r="V208" s="25"/>
      <c r="W208" s="25"/>
      <c r="X208" s="25"/>
      <c r="Y208" s="25"/>
      <c r="Z208" s="25"/>
      <c r="AA208" s="25"/>
      <c r="AB208" s="25"/>
      <c r="AC208" s="25"/>
      <c r="AD208" s="25"/>
      <c r="AE208" s="25"/>
      <c r="AF208" s="25"/>
      <c r="AG208" s="25"/>
    </row>
    <row r="209" spans="1:7">
      <c r="A209" s="21" t="str">
        <f ca="1">IFERROR(IF(Loan_Not_Paid*Values_Entered,Payment_Number,""), "")</f>
        <v/>
      </c>
      <c r="B209" s="22" t="str">
        <f ca="1">IFERROR(IF(Loan_Not_Paid*Values_Entered,Payment_Date,""), "")</f>
        <v/>
      </c>
      <c r="C209" s="23" t="str">
        <f ca="1">IFERROR(IF(Loan_Not_Paid*Values_Entered,Beginning_Balance,""), "")</f>
        <v/>
      </c>
      <c r="D209" s="23" t="str">
        <f ca="1">IFERROR(IF(Loan_Not_Paid*Values_Entered,Monthly_Payment,""), "")</f>
        <v/>
      </c>
      <c r="E209" s="23" t="str">
        <f ca="1">IFERROR(IF(Loan_Not_Paid*Values_Entered,Principal,""), "")</f>
        <v/>
      </c>
      <c r="F209" s="23" t="str">
        <f ca="1">IFERROR(IF(Loan_Not_Paid*Values_Entered,Interest,""), "")</f>
        <v/>
      </c>
      <c r="G209" s="23" t="str">
        <f ca="1">IFERROR(IF(Loan_Not_Paid*Values_Entered,Ending_Balance,""), "")</f>
        <v/>
      </c>
    </row>
    <row r="210" spans="1:7">
      <c r="A210" s="21" t="str">
        <f ca="1">IFERROR(IF(Loan_Not_Paid*Values_Entered,Payment_Number,""), "")</f>
        <v/>
      </c>
      <c r="B210" s="22" t="str">
        <f ca="1">IFERROR(IF(Loan_Not_Paid*Values_Entered,Payment_Date,""), "")</f>
        <v/>
      </c>
      <c r="C210" s="23" t="str">
        <f ca="1">IFERROR(IF(Loan_Not_Paid*Values_Entered,Beginning_Balance,""), "")</f>
        <v/>
      </c>
      <c r="D210" s="23" t="str">
        <f ca="1">IFERROR(IF(Loan_Not_Paid*Values_Entered,Monthly_Payment,""), "")</f>
        <v/>
      </c>
      <c r="E210" s="23" t="str">
        <f ca="1">IFERROR(IF(Loan_Not_Paid*Values_Entered,Principal,""), "")</f>
        <v/>
      </c>
      <c r="F210" s="23" t="str">
        <f ca="1">IFERROR(IF(Loan_Not_Paid*Values_Entered,Interest,""), "")</f>
        <v/>
      </c>
      <c r="G210" s="23" t="str">
        <f ca="1">IFERROR(IF(Loan_Not_Paid*Values_Entered,Ending_Balance,""), "")</f>
        <v/>
      </c>
    </row>
    <row r="211" spans="1:7">
      <c r="A211" s="21" t="str">
        <f ca="1">IFERROR(IF(Loan_Not_Paid*Values_Entered,Payment_Number,""), "")</f>
        <v/>
      </c>
      <c r="B211" s="22" t="str">
        <f ca="1">IFERROR(IF(Loan_Not_Paid*Values_Entered,Payment_Date,""), "")</f>
        <v/>
      </c>
      <c r="C211" s="23" t="str">
        <f ca="1">IFERROR(IF(Loan_Not_Paid*Values_Entered,Beginning_Balance,""), "")</f>
        <v/>
      </c>
      <c r="D211" s="23" t="str">
        <f ca="1">IFERROR(IF(Loan_Not_Paid*Values_Entered,Monthly_Payment,""), "")</f>
        <v/>
      </c>
      <c r="E211" s="23" t="str">
        <f ca="1">IFERROR(IF(Loan_Not_Paid*Values_Entered,Principal,""), "")</f>
        <v/>
      </c>
      <c r="F211" s="23" t="str">
        <f ca="1">IFERROR(IF(Loan_Not_Paid*Values_Entered,Interest,""), "")</f>
        <v/>
      </c>
      <c r="G211" s="23" t="str">
        <f ca="1">IFERROR(IF(Loan_Not_Paid*Values_Entered,Ending_Balance,""), "")</f>
        <v/>
      </c>
    </row>
    <row r="212" spans="1:7">
      <c r="A212" s="21" t="str">
        <f ca="1">IFERROR(IF(Loan_Not_Paid*Values_Entered,Payment_Number,""), "")</f>
        <v/>
      </c>
      <c r="B212" s="22" t="str">
        <f ca="1">IFERROR(IF(Loan_Not_Paid*Values_Entered,Payment_Date,""), "")</f>
        <v/>
      </c>
      <c r="C212" s="23" t="str">
        <f ca="1">IFERROR(IF(Loan_Not_Paid*Values_Entered,Beginning_Balance,""), "")</f>
        <v/>
      </c>
      <c r="D212" s="23" t="str">
        <f ca="1">IFERROR(IF(Loan_Not_Paid*Values_Entered,Monthly_Payment,""), "")</f>
        <v/>
      </c>
      <c r="E212" s="23" t="str">
        <f ca="1">IFERROR(IF(Loan_Not_Paid*Values_Entered,Principal,""), "")</f>
        <v/>
      </c>
      <c r="F212" s="23" t="str">
        <f ca="1">IFERROR(IF(Loan_Not_Paid*Values_Entered,Interest,""), "")</f>
        <v/>
      </c>
      <c r="G212" s="23" t="str">
        <f ca="1">IFERROR(IF(Loan_Not_Paid*Values_Entered,Ending_Balance,""), "")</f>
        <v/>
      </c>
    </row>
    <row r="213" spans="1:7">
      <c r="A213" s="21" t="str">
        <f ca="1">IFERROR(IF(Loan_Not_Paid*Values_Entered,Payment_Number,""), "")</f>
        <v/>
      </c>
      <c r="B213" s="22" t="str">
        <f ca="1">IFERROR(IF(Loan_Not_Paid*Values_Entered,Payment_Date,""), "")</f>
        <v/>
      </c>
      <c r="C213" s="23" t="str">
        <f ca="1">IFERROR(IF(Loan_Not_Paid*Values_Entered,Beginning_Balance,""), "")</f>
        <v/>
      </c>
      <c r="D213" s="23" t="str">
        <f ca="1">IFERROR(IF(Loan_Not_Paid*Values_Entered,Monthly_Payment,""), "")</f>
        <v/>
      </c>
      <c r="E213" s="23" t="str">
        <f ca="1">IFERROR(IF(Loan_Not_Paid*Values_Entered,Principal,""), "")</f>
        <v/>
      </c>
      <c r="F213" s="23" t="str">
        <f ca="1">IFERROR(IF(Loan_Not_Paid*Values_Entered,Interest,""), "")</f>
        <v/>
      </c>
      <c r="G213" s="23" t="str">
        <f ca="1">IFERROR(IF(Loan_Not_Paid*Values_Entered,Ending_Balance,""), "")</f>
        <v/>
      </c>
    </row>
    <row r="214" spans="1:7">
      <c r="A214" s="21" t="str">
        <f ca="1">IFERROR(IF(Loan_Not_Paid*Values_Entered,Payment_Number,""), "")</f>
        <v/>
      </c>
      <c r="B214" s="22" t="str">
        <f ca="1">IFERROR(IF(Loan_Not_Paid*Values_Entered,Payment_Date,""), "")</f>
        <v/>
      </c>
      <c r="C214" s="23" t="str">
        <f ca="1">IFERROR(IF(Loan_Not_Paid*Values_Entered,Beginning_Balance,""), "")</f>
        <v/>
      </c>
      <c r="D214" s="23" t="str">
        <f ca="1">IFERROR(IF(Loan_Not_Paid*Values_Entered,Monthly_Payment,""), "")</f>
        <v/>
      </c>
      <c r="E214" s="23" t="str">
        <f ca="1">IFERROR(IF(Loan_Not_Paid*Values_Entered,Principal,""), "")</f>
        <v/>
      </c>
      <c r="F214" s="23" t="str">
        <f ca="1">IFERROR(IF(Loan_Not_Paid*Values_Entered,Interest,""), "")</f>
        <v/>
      </c>
      <c r="G214" s="23" t="str">
        <f ca="1">IFERROR(IF(Loan_Not_Paid*Values_Entered,Ending_Balance,""), "")</f>
        <v/>
      </c>
    </row>
    <row r="215" spans="1:7">
      <c r="A215" s="21" t="str">
        <f ca="1">IFERROR(IF(Loan_Not_Paid*Values_Entered,Payment_Number,""), "")</f>
        <v/>
      </c>
      <c r="B215" s="22" t="str">
        <f ca="1">IFERROR(IF(Loan_Not_Paid*Values_Entered,Payment_Date,""), "")</f>
        <v/>
      </c>
      <c r="C215" s="23" t="str">
        <f ca="1">IFERROR(IF(Loan_Not_Paid*Values_Entered,Beginning_Balance,""), "")</f>
        <v/>
      </c>
      <c r="D215" s="23" t="str">
        <f ca="1">IFERROR(IF(Loan_Not_Paid*Values_Entered,Monthly_Payment,""), "")</f>
        <v/>
      </c>
      <c r="E215" s="23" t="str">
        <f ca="1">IFERROR(IF(Loan_Not_Paid*Values_Entered,Principal,""), "")</f>
        <v/>
      </c>
      <c r="F215" s="23" t="str">
        <f ca="1">IFERROR(IF(Loan_Not_Paid*Values_Entered,Interest,""), "")</f>
        <v/>
      </c>
      <c r="G215" s="23" t="str">
        <f ca="1">IFERROR(IF(Loan_Not_Paid*Values_Entered,Ending_Balance,""), "")</f>
        <v/>
      </c>
    </row>
    <row r="216" spans="1:7">
      <c r="A216" s="21" t="str">
        <f ca="1">IFERROR(IF(Loan_Not_Paid*Values_Entered,Payment_Number,""), "")</f>
        <v/>
      </c>
      <c r="B216" s="22" t="str">
        <f ca="1">IFERROR(IF(Loan_Not_Paid*Values_Entered,Payment_Date,""), "")</f>
        <v/>
      </c>
      <c r="C216" s="23" t="str">
        <f ca="1">IFERROR(IF(Loan_Not_Paid*Values_Entered,Beginning_Balance,""), "")</f>
        <v/>
      </c>
      <c r="D216" s="23" t="str">
        <f ca="1">IFERROR(IF(Loan_Not_Paid*Values_Entered,Monthly_Payment,""), "")</f>
        <v/>
      </c>
      <c r="E216" s="23" t="str">
        <f ca="1">IFERROR(IF(Loan_Not_Paid*Values_Entered,Principal,""), "")</f>
        <v/>
      </c>
      <c r="F216" s="23" t="str">
        <f ca="1">IFERROR(IF(Loan_Not_Paid*Values_Entered,Interest,""), "")</f>
        <v/>
      </c>
      <c r="G216" s="23" t="str">
        <f ca="1">IFERROR(IF(Loan_Not_Paid*Values_Entered,Ending_Balance,""), "")</f>
        <v/>
      </c>
    </row>
    <row r="217" spans="1:7">
      <c r="A217" s="21" t="str">
        <f ca="1">IFERROR(IF(Loan_Not_Paid*Values_Entered,Payment_Number,""), "")</f>
        <v/>
      </c>
      <c r="B217" s="22" t="str">
        <f ca="1">IFERROR(IF(Loan_Not_Paid*Values_Entered,Payment_Date,""), "")</f>
        <v/>
      </c>
      <c r="C217" s="23" t="str">
        <f ca="1">IFERROR(IF(Loan_Not_Paid*Values_Entered,Beginning_Balance,""), "")</f>
        <v/>
      </c>
      <c r="D217" s="23" t="str">
        <f ca="1">IFERROR(IF(Loan_Not_Paid*Values_Entered,Monthly_Payment,""), "")</f>
        <v/>
      </c>
      <c r="E217" s="23" t="str">
        <f ca="1">IFERROR(IF(Loan_Not_Paid*Values_Entered,Principal,""), "")</f>
        <v/>
      </c>
      <c r="F217" s="23" t="str">
        <f ca="1">IFERROR(IF(Loan_Not_Paid*Values_Entered,Interest,""), "")</f>
        <v/>
      </c>
      <c r="G217" s="23" t="str">
        <f ca="1">IFERROR(IF(Loan_Not_Paid*Values_Entered,Ending_Balance,""), "")</f>
        <v/>
      </c>
    </row>
    <row r="218" spans="1:7">
      <c r="A218" s="21" t="str">
        <f ca="1">IFERROR(IF(Loan_Not_Paid*Values_Entered,Payment_Number,""), "")</f>
        <v/>
      </c>
      <c r="B218" s="22" t="str">
        <f ca="1">IFERROR(IF(Loan_Not_Paid*Values_Entered,Payment_Date,""), "")</f>
        <v/>
      </c>
      <c r="C218" s="23" t="str">
        <f ca="1">IFERROR(IF(Loan_Not_Paid*Values_Entered,Beginning_Balance,""), "")</f>
        <v/>
      </c>
      <c r="D218" s="23" t="str">
        <f ca="1">IFERROR(IF(Loan_Not_Paid*Values_Entered,Monthly_Payment,""), "")</f>
        <v/>
      </c>
      <c r="E218" s="23" t="str">
        <f ca="1">IFERROR(IF(Loan_Not_Paid*Values_Entered,Principal,""), "")</f>
        <v/>
      </c>
      <c r="F218" s="23" t="str">
        <f ca="1">IFERROR(IF(Loan_Not_Paid*Values_Entered,Interest,""), "")</f>
        <v/>
      </c>
      <c r="G218" s="23" t="str">
        <f ca="1">IFERROR(IF(Loan_Not_Paid*Values_Entered,Ending_Balance,""), "")</f>
        <v/>
      </c>
    </row>
    <row r="219" spans="1:7">
      <c r="A219" s="21" t="str">
        <f ca="1">IFERROR(IF(Loan_Not_Paid*Values_Entered,Payment_Number,""), "")</f>
        <v/>
      </c>
      <c r="B219" s="22" t="str">
        <f ca="1">IFERROR(IF(Loan_Not_Paid*Values_Entered,Payment_Date,""), "")</f>
        <v/>
      </c>
      <c r="C219" s="23" t="str">
        <f ca="1">IFERROR(IF(Loan_Not_Paid*Values_Entered,Beginning_Balance,""), "")</f>
        <v/>
      </c>
      <c r="D219" s="23" t="str">
        <f ca="1">IFERROR(IF(Loan_Not_Paid*Values_Entered,Monthly_Payment,""), "")</f>
        <v/>
      </c>
      <c r="E219" s="23" t="str">
        <f ca="1">IFERROR(IF(Loan_Not_Paid*Values_Entered,Principal,""), "")</f>
        <v/>
      </c>
      <c r="F219" s="23" t="str">
        <f ca="1">IFERROR(IF(Loan_Not_Paid*Values_Entered,Interest,""), "")</f>
        <v/>
      </c>
      <c r="G219" s="23" t="str">
        <f ca="1">IFERROR(IF(Loan_Not_Paid*Values_Entered,Ending_Balance,""), "")</f>
        <v/>
      </c>
    </row>
    <row r="220" spans="1:7">
      <c r="A220" s="21" t="str">
        <f ca="1">IFERROR(IF(Loan_Not_Paid*Values_Entered,Payment_Number,""), "")</f>
        <v/>
      </c>
      <c r="B220" s="22" t="str">
        <f ca="1">IFERROR(IF(Loan_Not_Paid*Values_Entered,Payment_Date,""), "")</f>
        <v/>
      </c>
      <c r="C220" s="23" t="str">
        <f ca="1">IFERROR(IF(Loan_Not_Paid*Values_Entered,Beginning_Balance,""), "")</f>
        <v/>
      </c>
      <c r="D220" s="23" t="str">
        <f ca="1">IFERROR(IF(Loan_Not_Paid*Values_Entered,Monthly_Payment,""), "")</f>
        <v/>
      </c>
      <c r="E220" s="23" t="str">
        <f ca="1">IFERROR(IF(Loan_Not_Paid*Values_Entered,Principal,""), "")</f>
        <v/>
      </c>
      <c r="F220" s="23" t="str">
        <f ca="1">IFERROR(IF(Loan_Not_Paid*Values_Entered,Interest,""), "")</f>
        <v/>
      </c>
      <c r="G220" s="23" t="str">
        <f ca="1">IFERROR(IF(Loan_Not_Paid*Values_Entered,Ending_Balance,""), "")</f>
        <v/>
      </c>
    </row>
    <row r="221" spans="1:7">
      <c r="A221" s="21" t="str">
        <f ca="1">IFERROR(IF(Loan_Not_Paid*Values_Entered,Payment_Number,""), "")</f>
        <v/>
      </c>
      <c r="B221" s="22" t="str">
        <f ca="1">IFERROR(IF(Loan_Not_Paid*Values_Entered,Payment_Date,""), "")</f>
        <v/>
      </c>
      <c r="C221" s="23" t="str">
        <f ca="1">IFERROR(IF(Loan_Not_Paid*Values_Entered,Beginning_Balance,""), "")</f>
        <v/>
      </c>
      <c r="D221" s="23" t="str">
        <f ca="1">IFERROR(IF(Loan_Not_Paid*Values_Entered,Monthly_Payment,""), "")</f>
        <v/>
      </c>
      <c r="E221" s="23" t="str">
        <f ca="1">IFERROR(IF(Loan_Not_Paid*Values_Entered,Principal,""), "")</f>
        <v/>
      </c>
      <c r="F221" s="23" t="str">
        <f ca="1">IFERROR(IF(Loan_Not_Paid*Values_Entered,Interest,""), "")</f>
        <v/>
      </c>
      <c r="G221" s="23" t="str">
        <f ca="1">IFERROR(IF(Loan_Not_Paid*Values_Entered,Ending_Balance,""), "")</f>
        <v/>
      </c>
    </row>
    <row r="222" spans="1:7">
      <c r="A222" s="21" t="str">
        <f ca="1">IFERROR(IF(Loan_Not_Paid*Values_Entered,Payment_Number,""), "")</f>
        <v/>
      </c>
      <c r="B222" s="22" t="str">
        <f ca="1">IFERROR(IF(Loan_Not_Paid*Values_Entered,Payment_Date,""), "")</f>
        <v/>
      </c>
      <c r="C222" s="23" t="str">
        <f ca="1">IFERROR(IF(Loan_Not_Paid*Values_Entered,Beginning_Balance,""), "")</f>
        <v/>
      </c>
      <c r="D222" s="23" t="str">
        <f ca="1">IFERROR(IF(Loan_Not_Paid*Values_Entered,Monthly_Payment,""), "")</f>
        <v/>
      </c>
      <c r="E222" s="23" t="str">
        <f ca="1">IFERROR(IF(Loan_Not_Paid*Values_Entered,Principal,""), "")</f>
        <v/>
      </c>
      <c r="F222" s="23" t="str">
        <f ca="1">IFERROR(IF(Loan_Not_Paid*Values_Entered,Interest,""), "")</f>
        <v/>
      </c>
      <c r="G222" s="23" t="str">
        <f ca="1">IFERROR(IF(Loan_Not_Paid*Values_Entered,Ending_Balance,""), "")</f>
        <v/>
      </c>
    </row>
    <row r="223" spans="1:7">
      <c r="A223" s="21" t="str">
        <f ca="1">IFERROR(IF(Loan_Not_Paid*Values_Entered,Payment_Number,""), "")</f>
        <v/>
      </c>
      <c r="B223" s="22" t="str">
        <f ca="1">IFERROR(IF(Loan_Not_Paid*Values_Entered,Payment_Date,""), "")</f>
        <v/>
      </c>
      <c r="C223" s="23" t="str">
        <f ca="1">IFERROR(IF(Loan_Not_Paid*Values_Entered,Beginning_Balance,""), "")</f>
        <v/>
      </c>
      <c r="D223" s="23" t="str">
        <f ca="1">IFERROR(IF(Loan_Not_Paid*Values_Entered,Monthly_Payment,""), "")</f>
        <v/>
      </c>
      <c r="E223" s="23" t="str">
        <f ca="1">IFERROR(IF(Loan_Not_Paid*Values_Entered,Principal,""), "")</f>
        <v/>
      </c>
      <c r="F223" s="23" t="str">
        <f ca="1">IFERROR(IF(Loan_Not_Paid*Values_Entered,Interest,""), "")</f>
        <v/>
      </c>
      <c r="G223" s="23" t="str">
        <f ca="1">IFERROR(IF(Loan_Not_Paid*Values_Entered,Ending_Balance,""), "")</f>
        <v/>
      </c>
    </row>
    <row r="224" spans="1:7">
      <c r="A224" s="21" t="str">
        <f ca="1">IFERROR(IF(Loan_Not_Paid*Values_Entered,Payment_Number,""), "")</f>
        <v/>
      </c>
      <c r="B224" s="22" t="str">
        <f ca="1">IFERROR(IF(Loan_Not_Paid*Values_Entered,Payment_Date,""), "")</f>
        <v/>
      </c>
      <c r="C224" s="23" t="str">
        <f ca="1">IFERROR(IF(Loan_Not_Paid*Values_Entered,Beginning_Balance,""), "")</f>
        <v/>
      </c>
      <c r="D224" s="23" t="str">
        <f ca="1">IFERROR(IF(Loan_Not_Paid*Values_Entered,Monthly_Payment,""), "")</f>
        <v/>
      </c>
      <c r="E224" s="23" t="str">
        <f ca="1">IFERROR(IF(Loan_Not_Paid*Values_Entered,Principal,""), "")</f>
        <v/>
      </c>
      <c r="F224" s="23" t="str">
        <f ca="1">IFERROR(IF(Loan_Not_Paid*Values_Entered,Interest,""), "")</f>
        <v/>
      </c>
      <c r="G224" s="23" t="str">
        <f ca="1">IFERROR(IF(Loan_Not_Paid*Values_Entered,Ending_Balance,""), "")</f>
        <v/>
      </c>
    </row>
    <row r="225" spans="1:7">
      <c r="A225" s="21" t="str">
        <f ca="1">IFERROR(IF(Loan_Not_Paid*Values_Entered,Payment_Number,""), "")</f>
        <v/>
      </c>
      <c r="B225" s="22" t="str">
        <f ca="1">IFERROR(IF(Loan_Not_Paid*Values_Entered,Payment_Date,""), "")</f>
        <v/>
      </c>
      <c r="C225" s="23" t="str">
        <f ca="1">IFERROR(IF(Loan_Not_Paid*Values_Entered,Beginning_Balance,""), "")</f>
        <v/>
      </c>
      <c r="D225" s="23" t="str">
        <f ca="1">IFERROR(IF(Loan_Not_Paid*Values_Entered,Monthly_Payment,""), "")</f>
        <v/>
      </c>
      <c r="E225" s="23" t="str">
        <f ca="1">IFERROR(IF(Loan_Not_Paid*Values_Entered,Principal,""), "")</f>
        <v/>
      </c>
      <c r="F225" s="23" t="str">
        <f ca="1">IFERROR(IF(Loan_Not_Paid*Values_Entered,Interest,""), "")</f>
        <v/>
      </c>
      <c r="G225" s="23" t="str">
        <f ca="1">IFERROR(IF(Loan_Not_Paid*Values_Entered,Ending_Balance,""), "")</f>
        <v/>
      </c>
    </row>
    <row r="226" spans="1:7">
      <c r="A226" s="21" t="str">
        <f ca="1">IFERROR(IF(Loan_Not_Paid*Values_Entered,Payment_Number,""), "")</f>
        <v/>
      </c>
      <c r="B226" s="22" t="str">
        <f ca="1">IFERROR(IF(Loan_Not_Paid*Values_Entered,Payment_Date,""), "")</f>
        <v/>
      </c>
      <c r="C226" s="23" t="str">
        <f ca="1">IFERROR(IF(Loan_Not_Paid*Values_Entered,Beginning_Balance,""), "")</f>
        <v/>
      </c>
      <c r="D226" s="23" t="str">
        <f ca="1">IFERROR(IF(Loan_Not_Paid*Values_Entered,Monthly_Payment,""), "")</f>
        <v/>
      </c>
      <c r="E226" s="23" t="str">
        <f ca="1">IFERROR(IF(Loan_Not_Paid*Values_Entered,Principal,""), "")</f>
        <v/>
      </c>
      <c r="F226" s="23" t="str">
        <f ca="1">IFERROR(IF(Loan_Not_Paid*Values_Entered,Interest,""), "")</f>
        <v/>
      </c>
      <c r="G226" s="23" t="str">
        <f ca="1">IFERROR(IF(Loan_Not_Paid*Values_Entered,Ending_Balance,""), "")</f>
        <v/>
      </c>
    </row>
    <row r="227" spans="1:7">
      <c r="A227" s="21" t="str">
        <f ca="1">IFERROR(IF(Loan_Not_Paid*Values_Entered,Payment_Number,""), "")</f>
        <v/>
      </c>
      <c r="B227" s="22" t="str">
        <f ca="1">IFERROR(IF(Loan_Not_Paid*Values_Entered,Payment_Date,""), "")</f>
        <v/>
      </c>
      <c r="C227" s="23" t="str">
        <f ca="1">IFERROR(IF(Loan_Not_Paid*Values_Entered,Beginning_Balance,""), "")</f>
        <v/>
      </c>
      <c r="D227" s="23" t="str">
        <f ca="1">IFERROR(IF(Loan_Not_Paid*Values_Entered,Monthly_Payment,""), "")</f>
        <v/>
      </c>
      <c r="E227" s="23" t="str">
        <f ca="1">IFERROR(IF(Loan_Not_Paid*Values_Entered,Principal,""), "")</f>
        <v/>
      </c>
      <c r="F227" s="23" t="str">
        <f ca="1">IFERROR(IF(Loan_Not_Paid*Values_Entered,Interest,""), "")</f>
        <v/>
      </c>
      <c r="G227" s="23" t="str">
        <f ca="1">IFERROR(IF(Loan_Not_Paid*Values_Entered,Ending_Balance,""), "")</f>
        <v/>
      </c>
    </row>
    <row r="228" spans="1:7">
      <c r="A228" s="21" t="str">
        <f ca="1">IFERROR(IF(Loan_Not_Paid*Values_Entered,Payment_Number,""), "")</f>
        <v/>
      </c>
      <c r="B228" s="22" t="str">
        <f ca="1">IFERROR(IF(Loan_Not_Paid*Values_Entered,Payment_Date,""), "")</f>
        <v/>
      </c>
      <c r="C228" s="23" t="str">
        <f ca="1">IFERROR(IF(Loan_Not_Paid*Values_Entered,Beginning_Balance,""), "")</f>
        <v/>
      </c>
      <c r="D228" s="23" t="str">
        <f ca="1">IFERROR(IF(Loan_Not_Paid*Values_Entered,Monthly_Payment,""), "")</f>
        <v/>
      </c>
      <c r="E228" s="23" t="str">
        <f ca="1">IFERROR(IF(Loan_Not_Paid*Values_Entered,Principal,""), "")</f>
        <v/>
      </c>
      <c r="F228" s="23" t="str">
        <f ca="1">IFERROR(IF(Loan_Not_Paid*Values_Entered,Interest,""), "")</f>
        <v/>
      </c>
      <c r="G228" s="23" t="str">
        <f ca="1">IFERROR(IF(Loan_Not_Paid*Values_Entered,Ending_Balance,""), "")</f>
        <v/>
      </c>
    </row>
    <row r="229" spans="1:7">
      <c r="A229" s="21" t="str">
        <f ca="1">IFERROR(IF(Loan_Not_Paid*Values_Entered,Payment_Number,""), "")</f>
        <v/>
      </c>
      <c r="B229" s="22" t="str">
        <f ca="1">IFERROR(IF(Loan_Not_Paid*Values_Entered,Payment_Date,""), "")</f>
        <v/>
      </c>
      <c r="C229" s="23" t="str">
        <f ca="1">IFERROR(IF(Loan_Not_Paid*Values_Entered,Beginning_Balance,""), "")</f>
        <v/>
      </c>
      <c r="D229" s="23" t="str">
        <f ca="1">IFERROR(IF(Loan_Not_Paid*Values_Entered,Monthly_Payment,""), "")</f>
        <v/>
      </c>
      <c r="E229" s="23" t="str">
        <f ca="1">IFERROR(IF(Loan_Not_Paid*Values_Entered,Principal,""), "")</f>
        <v/>
      </c>
      <c r="F229" s="23" t="str">
        <f ca="1">IFERROR(IF(Loan_Not_Paid*Values_Entered,Interest,""), "")</f>
        <v/>
      </c>
      <c r="G229" s="23" t="str">
        <f ca="1">IFERROR(IF(Loan_Not_Paid*Values_Entered,Ending_Balance,""), "")</f>
        <v/>
      </c>
    </row>
    <row r="230" spans="1:7">
      <c r="A230" s="21" t="str">
        <f ca="1">IFERROR(IF(Loan_Not_Paid*Values_Entered,Payment_Number,""), "")</f>
        <v/>
      </c>
      <c r="B230" s="22" t="str">
        <f ca="1">IFERROR(IF(Loan_Not_Paid*Values_Entered,Payment_Date,""), "")</f>
        <v/>
      </c>
      <c r="C230" s="23" t="str">
        <f ca="1">IFERROR(IF(Loan_Not_Paid*Values_Entered,Beginning_Balance,""), "")</f>
        <v/>
      </c>
      <c r="D230" s="23" t="str">
        <f ca="1">IFERROR(IF(Loan_Not_Paid*Values_Entered,Monthly_Payment,""), "")</f>
        <v/>
      </c>
      <c r="E230" s="23" t="str">
        <f ca="1">IFERROR(IF(Loan_Not_Paid*Values_Entered,Principal,""), "")</f>
        <v/>
      </c>
      <c r="F230" s="23" t="str">
        <f ca="1">IFERROR(IF(Loan_Not_Paid*Values_Entered,Interest,""), "")</f>
        <v/>
      </c>
      <c r="G230" s="23" t="str">
        <f ca="1">IFERROR(IF(Loan_Not_Paid*Values_Entered,Ending_Balance,""), "")</f>
        <v/>
      </c>
    </row>
    <row r="231" spans="1:7">
      <c r="A231" s="21" t="str">
        <f ca="1">IFERROR(IF(Loan_Not_Paid*Values_Entered,Payment_Number,""), "")</f>
        <v/>
      </c>
      <c r="B231" s="22" t="str">
        <f ca="1">IFERROR(IF(Loan_Not_Paid*Values_Entered,Payment_Date,""), "")</f>
        <v/>
      </c>
      <c r="C231" s="23" t="str">
        <f ca="1">IFERROR(IF(Loan_Not_Paid*Values_Entered,Beginning_Balance,""), "")</f>
        <v/>
      </c>
      <c r="D231" s="23" t="str">
        <f ca="1">IFERROR(IF(Loan_Not_Paid*Values_Entered,Monthly_Payment,""), "")</f>
        <v/>
      </c>
      <c r="E231" s="23" t="str">
        <f ca="1">IFERROR(IF(Loan_Not_Paid*Values_Entered,Principal,""), "")</f>
        <v/>
      </c>
      <c r="F231" s="23" t="str">
        <f ca="1">IFERROR(IF(Loan_Not_Paid*Values_Entered,Interest,""), "")</f>
        <v/>
      </c>
      <c r="G231" s="23" t="str">
        <f ca="1">IFERROR(IF(Loan_Not_Paid*Values_Entered,Ending_Balance,""), "")</f>
        <v/>
      </c>
    </row>
    <row r="232" spans="1:7">
      <c r="A232" s="21" t="str">
        <f ca="1">IFERROR(IF(Loan_Not_Paid*Values_Entered,Payment_Number,""), "")</f>
        <v/>
      </c>
      <c r="B232" s="22" t="str">
        <f ca="1">IFERROR(IF(Loan_Not_Paid*Values_Entered,Payment_Date,""), "")</f>
        <v/>
      </c>
      <c r="C232" s="23" t="str">
        <f ca="1">IFERROR(IF(Loan_Not_Paid*Values_Entered,Beginning_Balance,""), "")</f>
        <v/>
      </c>
      <c r="D232" s="23" t="str">
        <f ca="1">IFERROR(IF(Loan_Not_Paid*Values_Entered,Monthly_Payment,""), "")</f>
        <v/>
      </c>
      <c r="E232" s="23" t="str">
        <f ca="1">IFERROR(IF(Loan_Not_Paid*Values_Entered,Principal,""), "")</f>
        <v/>
      </c>
      <c r="F232" s="23" t="str">
        <f ca="1">IFERROR(IF(Loan_Not_Paid*Values_Entered,Interest,""), "")</f>
        <v/>
      </c>
      <c r="G232" s="23" t="str">
        <f ca="1">IFERROR(IF(Loan_Not_Paid*Values_Entered,Ending_Balance,""), "")</f>
        <v/>
      </c>
    </row>
    <row r="233" spans="1:7">
      <c r="A233" s="21" t="str">
        <f ca="1">IFERROR(IF(Loan_Not_Paid*Values_Entered,Payment_Number,""), "")</f>
        <v/>
      </c>
      <c r="B233" s="22" t="str">
        <f ca="1">IFERROR(IF(Loan_Not_Paid*Values_Entered,Payment_Date,""), "")</f>
        <v/>
      </c>
      <c r="C233" s="23" t="str">
        <f ca="1">IFERROR(IF(Loan_Not_Paid*Values_Entered,Beginning_Balance,""), "")</f>
        <v/>
      </c>
      <c r="D233" s="23" t="str">
        <f ca="1">IFERROR(IF(Loan_Not_Paid*Values_Entered,Monthly_Payment,""), "")</f>
        <v/>
      </c>
      <c r="E233" s="23" t="str">
        <f ca="1">IFERROR(IF(Loan_Not_Paid*Values_Entered,Principal,""), "")</f>
        <v/>
      </c>
      <c r="F233" s="23" t="str">
        <f ca="1">IFERROR(IF(Loan_Not_Paid*Values_Entered,Interest,""), "")</f>
        <v/>
      </c>
      <c r="G233" s="23" t="str">
        <f ca="1">IFERROR(IF(Loan_Not_Paid*Values_Entered,Ending_Balance,""), "")</f>
        <v/>
      </c>
    </row>
    <row r="234" spans="1:7">
      <c r="A234" s="21" t="str">
        <f ca="1">IFERROR(IF(Loan_Not_Paid*Values_Entered,Payment_Number,""), "")</f>
        <v/>
      </c>
      <c r="B234" s="22" t="str">
        <f ca="1">IFERROR(IF(Loan_Not_Paid*Values_Entered,Payment_Date,""), "")</f>
        <v/>
      </c>
      <c r="C234" s="23" t="str">
        <f ca="1">IFERROR(IF(Loan_Not_Paid*Values_Entered,Beginning_Balance,""), "")</f>
        <v/>
      </c>
      <c r="D234" s="23" t="str">
        <f ca="1">IFERROR(IF(Loan_Not_Paid*Values_Entered,Monthly_Payment,""), "")</f>
        <v/>
      </c>
      <c r="E234" s="23" t="str">
        <f ca="1">IFERROR(IF(Loan_Not_Paid*Values_Entered,Principal,""), "")</f>
        <v/>
      </c>
      <c r="F234" s="23" t="str">
        <f ca="1">IFERROR(IF(Loan_Not_Paid*Values_Entered,Interest,""), "")</f>
        <v/>
      </c>
      <c r="G234" s="23" t="str">
        <f ca="1">IFERROR(IF(Loan_Not_Paid*Values_Entered,Ending_Balance,""), "")</f>
        <v/>
      </c>
    </row>
    <row r="235" spans="1:7">
      <c r="A235" s="21" t="str">
        <f ca="1">IFERROR(IF(Loan_Not_Paid*Values_Entered,Payment_Number,""), "")</f>
        <v/>
      </c>
      <c r="B235" s="22" t="str">
        <f ca="1">IFERROR(IF(Loan_Not_Paid*Values_Entered,Payment_Date,""), "")</f>
        <v/>
      </c>
      <c r="C235" s="23" t="str">
        <f ca="1">IFERROR(IF(Loan_Not_Paid*Values_Entered,Beginning_Balance,""), "")</f>
        <v/>
      </c>
      <c r="D235" s="23" t="str">
        <f ca="1">IFERROR(IF(Loan_Not_Paid*Values_Entered,Monthly_Payment,""), "")</f>
        <v/>
      </c>
      <c r="E235" s="23" t="str">
        <f ca="1">IFERROR(IF(Loan_Not_Paid*Values_Entered,Principal,""), "")</f>
        <v/>
      </c>
      <c r="F235" s="23" t="str">
        <f ca="1">IFERROR(IF(Loan_Not_Paid*Values_Entered,Interest,""), "")</f>
        <v/>
      </c>
      <c r="G235" s="23" t="str">
        <f ca="1">IFERROR(IF(Loan_Not_Paid*Values_Entered,Ending_Balance,""), "")</f>
        <v/>
      </c>
    </row>
    <row r="236" spans="1:7">
      <c r="A236" s="21" t="str">
        <f ca="1">IFERROR(IF(Loan_Not_Paid*Values_Entered,Payment_Number,""), "")</f>
        <v/>
      </c>
      <c r="B236" s="22" t="str">
        <f ca="1">IFERROR(IF(Loan_Not_Paid*Values_Entered,Payment_Date,""), "")</f>
        <v/>
      </c>
      <c r="C236" s="23" t="str">
        <f ca="1">IFERROR(IF(Loan_Not_Paid*Values_Entered,Beginning_Balance,""), "")</f>
        <v/>
      </c>
      <c r="D236" s="23" t="str">
        <f ca="1">IFERROR(IF(Loan_Not_Paid*Values_Entered,Monthly_Payment,""), "")</f>
        <v/>
      </c>
      <c r="E236" s="23" t="str">
        <f ca="1">IFERROR(IF(Loan_Not_Paid*Values_Entered,Principal,""), "")</f>
        <v/>
      </c>
      <c r="F236" s="23" t="str">
        <f ca="1">IFERROR(IF(Loan_Not_Paid*Values_Entered,Interest,""), "")</f>
        <v/>
      </c>
      <c r="G236" s="23" t="str">
        <f ca="1">IFERROR(IF(Loan_Not_Paid*Values_Entered,Ending_Balance,""), "")</f>
        <v/>
      </c>
    </row>
    <row r="237" spans="1:7">
      <c r="A237" s="21" t="str">
        <f ca="1">IFERROR(IF(Loan_Not_Paid*Values_Entered,Payment_Number,""), "")</f>
        <v/>
      </c>
      <c r="B237" s="22" t="str">
        <f ca="1">IFERROR(IF(Loan_Not_Paid*Values_Entered,Payment_Date,""), "")</f>
        <v/>
      </c>
      <c r="C237" s="23" t="str">
        <f ca="1">IFERROR(IF(Loan_Not_Paid*Values_Entered,Beginning_Balance,""), "")</f>
        <v/>
      </c>
      <c r="D237" s="23" t="str">
        <f ca="1">IFERROR(IF(Loan_Not_Paid*Values_Entered,Monthly_Payment,""), "")</f>
        <v/>
      </c>
      <c r="E237" s="23" t="str">
        <f ca="1">IFERROR(IF(Loan_Not_Paid*Values_Entered,Principal,""), "")</f>
        <v/>
      </c>
      <c r="F237" s="23" t="str">
        <f ca="1">IFERROR(IF(Loan_Not_Paid*Values_Entered,Interest,""), "")</f>
        <v/>
      </c>
      <c r="G237" s="23" t="str">
        <f ca="1">IFERROR(IF(Loan_Not_Paid*Values_Entered,Ending_Balance,""), "")</f>
        <v/>
      </c>
    </row>
    <row r="238" spans="1:7">
      <c r="A238" s="21" t="str">
        <f ca="1">IFERROR(IF(Loan_Not_Paid*Values_Entered,Payment_Number,""), "")</f>
        <v/>
      </c>
      <c r="B238" s="22" t="str">
        <f ca="1">IFERROR(IF(Loan_Not_Paid*Values_Entered,Payment_Date,""), "")</f>
        <v/>
      </c>
      <c r="C238" s="23" t="str">
        <f ca="1">IFERROR(IF(Loan_Not_Paid*Values_Entered,Beginning_Balance,""), "")</f>
        <v/>
      </c>
      <c r="D238" s="23" t="str">
        <f ca="1">IFERROR(IF(Loan_Not_Paid*Values_Entered,Monthly_Payment,""), "")</f>
        <v/>
      </c>
      <c r="E238" s="23" t="str">
        <f ca="1">IFERROR(IF(Loan_Not_Paid*Values_Entered,Principal,""), "")</f>
        <v/>
      </c>
      <c r="F238" s="23" t="str">
        <f ca="1">IFERROR(IF(Loan_Not_Paid*Values_Entered,Interest,""), "")</f>
        <v/>
      </c>
      <c r="G238" s="23" t="str">
        <f ca="1">IFERROR(IF(Loan_Not_Paid*Values_Entered,Ending_Balance,""), "")</f>
        <v/>
      </c>
    </row>
    <row r="239" spans="1:7">
      <c r="A239" s="21" t="str">
        <f ca="1">IFERROR(IF(Loan_Not_Paid*Values_Entered,Payment_Number,""), "")</f>
        <v/>
      </c>
      <c r="B239" s="22" t="str">
        <f ca="1">IFERROR(IF(Loan_Not_Paid*Values_Entered,Payment_Date,""), "")</f>
        <v/>
      </c>
      <c r="C239" s="23" t="str">
        <f ca="1">IFERROR(IF(Loan_Not_Paid*Values_Entered,Beginning_Balance,""), "")</f>
        <v/>
      </c>
      <c r="D239" s="23" t="str">
        <f ca="1">IFERROR(IF(Loan_Not_Paid*Values_Entered,Monthly_Payment,""), "")</f>
        <v/>
      </c>
      <c r="E239" s="23" t="str">
        <f ca="1">IFERROR(IF(Loan_Not_Paid*Values_Entered,Principal,""), "")</f>
        <v/>
      </c>
      <c r="F239" s="23" t="str">
        <f ca="1">IFERROR(IF(Loan_Not_Paid*Values_Entered,Interest,""), "")</f>
        <v/>
      </c>
      <c r="G239" s="23" t="str">
        <f ca="1">IFERROR(IF(Loan_Not_Paid*Values_Entered,Ending_Balance,""), "")</f>
        <v/>
      </c>
    </row>
    <row r="240" spans="1:7">
      <c r="A240" s="21" t="str">
        <f ca="1">IFERROR(IF(Loan_Not_Paid*Values_Entered,Payment_Number,""), "")</f>
        <v/>
      </c>
      <c r="B240" s="22" t="str">
        <f ca="1">IFERROR(IF(Loan_Not_Paid*Values_Entered,Payment_Date,""), "")</f>
        <v/>
      </c>
      <c r="C240" s="23" t="str">
        <f ca="1">IFERROR(IF(Loan_Not_Paid*Values_Entered,Beginning_Balance,""), "")</f>
        <v/>
      </c>
      <c r="D240" s="23" t="str">
        <f ca="1">IFERROR(IF(Loan_Not_Paid*Values_Entered,Monthly_Payment,""), "")</f>
        <v/>
      </c>
      <c r="E240" s="23" t="str">
        <f ca="1">IFERROR(IF(Loan_Not_Paid*Values_Entered,Principal,""), "")</f>
        <v/>
      </c>
      <c r="F240" s="23" t="str">
        <f ca="1">IFERROR(IF(Loan_Not_Paid*Values_Entered,Interest,""), "")</f>
        <v/>
      </c>
      <c r="G240" s="23" t="str">
        <f ca="1">IFERROR(IF(Loan_Not_Paid*Values_Entered,Ending_Balance,""), "")</f>
        <v/>
      </c>
    </row>
    <row r="241" spans="1:7">
      <c r="A241" s="21" t="str">
        <f ca="1">IFERROR(IF(Loan_Not_Paid*Values_Entered,Payment_Number,""), "")</f>
        <v/>
      </c>
      <c r="B241" s="22" t="str">
        <f ca="1">IFERROR(IF(Loan_Not_Paid*Values_Entered,Payment_Date,""), "")</f>
        <v/>
      </c>
      <c r="C241" s="23" t="str">
        <f ca="1">IFERROR(IF(Loan_Not_Paid*Values_Entered,Beginning_Balance,""), "")</f>
        <v/>
      </c>
      <c r="D241" s="23" t="str">
        <f ca="1">IFERROR(IF(Loan_Not_Paid*Values_Entered,Monthly_Payment,""), "")</f>
        <v/>
      </c>
      <c r="E241" s="23" t="str">
        <f ca="1">IFERROR(IF(Loan_Not_Paid*Values_Entered,Principal,""), "")</f>
        <v/>
      </c>
      <c r="F241" s="23" t="str">
        <f ca="1">IFERROR(IF(Loan_Not_Paid*Values_Entered,Interest,""), "")</f>
        <v/>
      </c>
      <c r="G241" s="23" t="str">
        <f ca="1">IFERROR(IF(Loan_Not_Paid*Values_Entered,Ending_Balance,""), "")</f>
        <v/>
      </c>
    </row>
    <row r="242" spans="1:7">
      <c r="A242" s="21" t="str">
        <f ca="1">IFERROR(IF(Loan_Not_Paid*Values_Entered,Payment_Number,""), "")</f>
        <v/>
      </c>
      <c r="B242" s="22" t="str">
        <f ca="1">IFERROR(IF(Loan_Not_Paid*Values_Entered,Payment_Date,""), "")</f>
        <v/>
      </c>
      <c r="C242" s="23" t="str">
        <f ca="1">IFERROR(IF(Loan_Not_Paid*Values_Entered,Beginning_Balance,""), "")</f>
        <v/>
      </c>
      <c r="D242" s="23" t="str">
        <f ca="1">IFERROR(IF(Loan_Not_Paid*Values_Entered,Monthly_Payment,""), "")</f>
        <v/>
      </c>
      <c r="E242" s="23" t="str">
        <f ca="1">IFERROR(IF(Loan_Not_Paid*Values_Entered,Principal,""), "")</f>
        <v/>
      </c>
      <c r="F242" s="23" t="str">
        <f ca="1">IFERROR(IF(Loan_Not_Paid*Values_Entered,Interest,""), "")</f>
        <v/>
      </c>
      <c r="G242" s="23" t="str">
        <f ca="1">IFERROR(IF(Loan_Not_Paid*Values_Entered,Ending_Balance,""), "")</f>
        <v/>
      </c>
    </row>
    <row r="243" spans="1:7">
      <c r="A243" s="21" t="str">
        <f ca="1">IFERROR(IF(Loan_Not_Paid*Values_Entered,Payment_Number,""), "")</f>
        <v/>
      </c>
      <c r="B243" s="22" t="str">
        <f ca="1">IFERROR(IF(Loan_Not_Paid*Values_Entered,Payment_Date,""), "")</f>
        <v/>
      </c>
      <c r="C243" s="23" t="str">
        <f ca="1">IFERROR(IF(Loan_Not_Paid*Values_Entered,Beginning_Balance,""), "")</f>
        <v/>
      </c>
      <c r="D243" s="23" t="str">
        <f ca="1">IFERROR(IF(Loan_Not_Paid*Values_Entered,Monthly_Payment,""), "")</f>
        <v/>
      </c>
      <c r="E243" s="23" t="str">
        <f ca="1">IFERROR(IF(Loan_Not_Paid*Values_Entered,Principal,""), "")</f>
        <v/>
      </c>
      <c r="F243" s="23" t="str">
        <f ca="1">IFERROR(IF(Loan_Not_Paid*Values_Entered,Interest,""), "")</f>
        <v/>
      </c>
      <c r="G243" s="23" t="str">
        <f ca="1">IFERROR(IF(Loan_Not_Paid*Values_Entered,Ending_Balance,""), "")</f>
        <v/>
      </c>
    </row>
    <row r="244" spans="1:7">
      <c r="A244" s="21" t="str">
        <f ca="1">IFERROR(IF(Loan_Not_Paid*Values_Entered,Payment_Number,""), "")</f>
        <v/>
      </c>
      <c r="B244" s="22" t="str">
        <f ca="1">IFERROR(IF(Loan_Not_Paid*Values_Entered,Payment_Date,""), "")</f>
        <v/>
      </c>
      <c r="C244" s="23" t="str">
        <f ca="1">IFERROR(IF(Loan_Not_Paid*Values_Entered,Beginning_Balance,""), "")</f>
        <v/>
      </c>
      <c r="D244" s="23" t="str">
        <f ca="1">IFERROR(IF(Loan_Not_Paid*Values_Entered,Monthly_Payment,""), "")</f>
        <v/>
      </c>
      <c r="E244" s="23" t="str">
        <f ca="1">IFERROR(IF(Loan_Not_Paid*Values_Entered,Principal,""), "")</f>
        <v/>
      </c>
      <c r="F244" s="23" t="str">
        <f ca="1">IFERROR(IF(Loan_Not_Paid*Values_Entered,Interest,""), "")</f>
        <v/>
      </c>
      <c r="G244" s="23" t="str">
        <f ca="1">IFERROR(IF(Loan_Not_Paid*Values_Entered,Ending_Balance,""), "")</f>
        <v/>
      </c>
    </row>
    <row r="245" spans="1:7">
      <c r="A245" s="21" t="str">
        <f ca="1">IFERROR(IF(Loan_Not_Paid*Values_Entered,Payment_Number,""), "")</f>
        <v/>
      </c>
      <c r="B245" s="22" t="str">
        <f ca="1">IFERROR(IF(Loan_Not_Paid*Values_Entered,Payment_Date,""), "")</f>
        <v/>
      </c>
      <c r="C245" s="23" t="str">
        <f ca="1">IFERROR(IF(Loan_Not_Paid*Values_Entered,Beginning_Balance,""), "")</f>
        <v/>
      </c>
      <c r="D245" s="23" t="str">
        <f ca="1">IFERROR(IF(Loan_Not_Paid*Values_Entered,Monthly_Payment,""), "")</f>
        <v/>
      </c>
      <c r="E245" s="23" t="str">
        <f ca="1">IFERROR(IF(Loan_Not_Paid*Values_Entered,Principal,""), "")</f>
        <v/>
      </c>
      <c r="F245" s="23" t="str">
        <f ca="1">IFERROR(IF(Loan_Not_Paid*Values_Entered,Interest,""), "")</f>
        <v/>
      </c>
      <c r="G245" s="23" t="str">
        <f ca="1">IFERROR(IF(Loan_Not_Paid*Values_Entered,Ending_Balance,""), "")</f>
        <v/>
      </c>
    </row>
    <row r="246" spans="1:7">
      <c r="A246" s="21" t="str">
        <f ca="1">IFERROR(IF(Loan_Not_Paid*Values_Entered,Payment_Number,""), "")</f>
        <v/>
      </c>
      <c r="B246" s="22" t="str">
        <f ca="1">IFERROR(IF(Loan_Not_Paid*Values_Entered,Payment_Date,""), "")</f>
        <v/>
      </c>
      <c r="C246" s="23" t="str">
        <f ca="1">IFERROR(IF(Loan_Not_Paid*Values_Entered,Beginning_Balance,""), "")</f>
        <v/>
      </c>
      <c r="D246" s="23" t="str">
        <f ca="1">IFERROR(IF(Loan_Not_Paid*Values_Entered,Monthly_Payment,""), "")</f>
        <v/>
      </c>
      <c r="E246" s="23" t="str">
        <f ca="1">IFERROR(IF(Loan_Not_Paid*Values_Entered,Principal,""), "")</f>
        <v/>
      </c>
      <c r="F246" s="23" t="str">
        <f ca="1">IFERROR(IF(Loan_Not_Paid*Values_Entered,Interest,""), "")</f>
        <v/>
      </c>
      <c r="G246" s="23" t="str">
        <f ca="1">IFERROR(IF(Loan_Not_Paid*Values_Entered,Ending_Balance,""), "")</f>
        <v/>
      </c>
    </row>
    <row r="247" spans="1:7">
      <c r="A247" s="21" t="str">
        <f ca="1">IFERROR(IF(Loan_Not_Paid*Values_Entered,Payment_Number,""), "")</f>
        <v/>
      </c>
      <c r="B247" s="22" t="str">
        <f ca="1">IFERROR(IF(Loan_Not_Paid*Values_Entered,Payment_Date,""), "")</f>
        <v/>
      </c>
      <c r="C247" s="23" t="str">
        <f ca="1">IFERROR(IF(Loan_Not_Paid*Values_Entered,Beginning_Balance,""), "")</f>
        <v/>
      </c>
      <c r="D247" s="23" t="str">
        <f ca="1">IFERROR(IF(Loan_Not_Paid*Values_Entered,Monthly_Payment,""), "")</f>
        <v/>
      </c>
      <c r="E247" s="23" t="str">
        <f ca="1">IFERROR(IF(Loan_Not_Paid*Values_Entered,Principal,""), "")</f>
        <v/>
      </c>
      <c r="F247" s="23" t="str">
        <f ca="1">IFERROR(IF(Loan_Not_Paid*Values_Entered,Interest,""), "")</f>
        <v/>
      </c>
      <c r="G247" s="23" t="str">
        <f ca="1">IFERROR(IF(Loan_Not_Paid*Values_Entered,Ending_Balance,""), "")</f>
        <v/>
      </c>
    </row>
    <row r="248" spans="1:7">
      <c r="A248" s="21" t="str">
        <f ca="1">IFERROR(IF(Loan_Not_Paid*Values_Entered,Payment_Number,""), "")</f>
        <v/>
      </c>
      <c r="B248" s="22" t="str">
        <f ca="1">IFERROR(IF(Loan_Not_Paid*Values_Entered,Payment_Date,""), "")</f>
        <v/>
      </c>
      <c r="C248" s="23" t="str">
        <f ca="1">IFERROR(IF(Loan_Not_Paid*Values_Entered,Beginning_Balance,""), "")</f>
        <v/>
      </c>
      <c r="D248" s="23" t="str">
        <f ca="1">IFERROR(IF(Loan_Not_Paid*Values_Entered,Monthly_Payment,""), "")</f>
        <v/>
      </c>
      <c r="E248" s="23" t="str">
        <f ca="1">IFERROR(IF(Loan_Not_Paid*Values_Entered,Principal,""), "")</f>
        <v/>
      </c>
      <c r="F248" s="23" t="str">
        <f ca="1">IFERROR(IF(Loan_Not_Paid*Values_Entered,Interest,""), "")</f>
        <v/>
      </c>
      <c r="G248" s="23" t="str">
        <f ca="1">IFERROR(IF(Loan_Not_Paid*Values_Entered,Ending_Balance,""), "")</f>
        <v/>
      </c>
    </row>
    <row r="249" spans="1:7">
      <c r="A249" s="21" t="str">
        <f ca="1">IFERROR(IF(Loan_Not_Paid*Values_Entered,Payment_Number,""), "")</f>
        <v/>
      </c>
      <c r="B249" s="22" t="str">
        <f ca="1">IFERROR(IF(Loan_Not_Paid*Values_Entered,Payment_Date,""), "")</f>
        <v/>
      </c>
      <c r="C249" s="23" t="str">
        <f ca="1">IFERROR(IF(Loan_Not_Paid*Values_Entered,Beginning_Balance,""), "")</f>
        <v/>
      </c>
      <c r="D249" s="23" t="str">
        <f ca="1">IFERROR(IF(Loan_Not_Paid*Values_Entered,Monthly_Payment,""), "")</f>
        <v/>
      </c>
      <c r="E249" s="23" t="str">
        <f ca="1">IFERROR(IF(Loan_Not_Paid*Values_Entered,Principal,""), "")</f>
        <v/>
      </c>
      <c r="F249" s="23" t="str">
        <f ca="1">IFERROR(IF(Loan_Not_Paid*Values_Entered,Interest,""), "")</f>
        <v/>
      </c>
      <c r="G249" s="23" t="str">
        <f ca="1">IFERROR(IF(Loan_Not_Paid*Values_Entered,Ending_Balance,""), "")</f>
        <v/>
      </c>
    </row>
    <row r="250" spans="1:7">
      <c r="A250" s="21" t="str">
        <f ca="1">IFERROR(IF(Loan_Not_Paid*Values_Entered,Payment_Number,""), "")</f>
        <v/>
      </c>
      <c r="B250" s="22" t="str">
        <f ca="1">IFERROR(IF(Loan_Not_Paid*Values_Entered,Payment_Date,""), "")</f>
        <v/>
      </c>
      <c r="C250" s="23" t="str">
        <f ca="1">IFERROR(IF(Loan_Not_Paid*Values_Entered,Beginning_Balance,""), "")</f>
        <v/>
      </c>
      <c r="D250" s="23" t="str">
        <f ca="1">IFERROR(IF(Loan_Not_Paid*Values_Entered,Monthly_Payment,""), "")</f>
        <v/>
      </c>
      <c r="E250" s="23" t="str">
        <f ca="1">IFERROR(IF(Loan_Not_Paid*Values_Entered,Principal,""), "")</f>
        <v/>
      </c>
      <c r="F250" s="23" t="str">
        <f ca="1">IFERROR(IF(Loan_Not_Paid*Values_Entered,Interest,""), "")</f>
        <v/>
      </c>
      <c r="G250" s="23" t="str">
        <f ca="1">IFERROR(IF(Loan_Not_Paid*Values_Entered,Ending_Balance,""), "")</f>
        <v/>
      </c>
    </row>
    <row r="251" spans="1:7">
      <c r="A251" s="21" t="str">
        <f ca="1">IFERROR(IF(Loan_Not_Paid*Values_Entered,Payment_Number,""), "")</f>
        <v/>
      </c>
      <c r="B251" s="22" t="str">
        <f ca="1">IFERROR(IF(Loan_Not_Paid*Values_Entered,Payment_Date,""), "")</f>
        <v/>
      </c>
      <c r="C251" s="23" t="str">
        <f ca="1">IFERROR(IF(Loan_Not_Paid*Values_Entered,Beginning_Balance,""), "")</f>
        <v/>
      </c>
      <c r="D251" s="23" t="str">
        <f ca="1">IFERROR(IF(Loan_Not_Paid*Values_Entered,Monthly_Payment,""), "")</f>
        <v/>
      </c>
      <c r="E251" s="23" t="str">
        <f ca="1">IFERROR(IF(Loan_Not_Paid*Values_Entered,Principal,""), "")</f>
        <v/>
      </c>
      <c r="F251" s="23" t="str">
        <f ca="1">IFERROR(IF(Loan_Not_Paid*Values_Entered,Interest,""), "")</f>
        <v/>
      </c>
      <c r="G251" s="23" t="str">
        <f ca="1">IFERROR(IF(Loan_Not_Paid*Values_Entered,Ending_Balance,""), "")</f>
        <v/>
      </c>
    </row>
    <row r="252" spans="1:7">
      <c r="A252" s="21" t="str">
        <f ca="1">IFERROR(IF(Loan_Not_Paid*Values_Entered,Payment_Number,""), "")</f>
        <v/>
      </c>
      <c r="B252" s="22" t="str">
        <f ca="1">IFERROR(IF(Loan_Not_Paid*Values_Entered,Payment_Date,""), "")</f>
        <v/>
      </c>
      <c r="C252" s="23" t="str">
        <f ca="1">IFERROR(IF(Loan_Not_Paid*Values_Entered,Beginning_Balance,""), "")</f>
        <v/>
      </c>
      <c r="D252" s="23" t="str">
        <f ca="1">IFERROR(IF(Loan_Not_Paid*Values_Entered,Monthly_Payment,""), "")</f>
        <v/>
      </c>
      <c r="E252" s="23" t="str">
        <f ca="1">IFERROR(IF(Loan_Not_Paid*Values_Entered,Principal,""), "")</f>
        <v/>
      </c>
      <c r="F252" s="23" t="str">
        <f ca="1">IFERROR(IF(Loan_Not_Paid*Values_Entered,Interest,""), "")</f>
        <v/>
      </c>
      <c r="G252" s="23" t="str">
        <f ca="1">IFERROR(IF(Loan_Not_Paid*Values_Entered,Ending_Balance,""), "")</f>
        <v/>
      </c>
    </row>
    <row r="253" spans="1:7">
      <c r="A253" s="21" t="str">
        <f ca="1">IFERROR(IF(Loan_Not_Paid*Values_Entered,Payment_Number,""), "")</f>
        <v/>
      </c>
      <c r="B253" s="22" t="str">
        <f ca="1">IFERROR(IF(Loan_Not_Paid*Values_Entered,Payment_Date,""), "")</f>
        <v/>
      </c>
      <c r="C253" s="23" t="str">
        <f ca="1">IFERROR(IF(Loan_Not_Paid*Values_Entered,Beginning_Balance,""), "")</f>
        <v/>
      </c>
      <c r="D253" s="23" t="str">
        <f ca="1">IFERROR(IF(Loan_Not_Paid*Values_Entered,Monthly_Payment,""), "")</f>
        <v/>
      </c>
      <c r="E253" s="23" t="str">
        <f ca="1">IFERROR(IF(Loan_Not_Paid*Values_Entered,Principal,""), "")</f>
        <v/>
      </c>
      <c r="F253" s="23" t="str">
        <f ca="1">IFERROR(IF(Loan_Not_Paid*Values_Entered,Interest,""), "")</f>
        <v/>
      </c>
      <c r="G253" s="23" t="str">
        <f ca="1">IFERROR(IF(Loan_Not_Paid*Values_Entered,Ending_Balance,""), "")</f>
        <v/>
      </c>
    </row>
    <row r="254" spans="1:7">
      <c r="A254" s="21" t="str">
        <f ca="1">IFERROR(IF(Loan_Not_Paid*Values_Entered,Payment_Number,""), "")</f>
        <v/>
      </c>
      <c r="B254" s="22" t="str">
        <f ca="1">IFERROR(IF(Loan_Not_Paid*Values_Entered,Payment_Date,""), "")</f>
        <v/>
      </c>
      <c r="C254" s="23" t="str">
        <f ca="1">IFERROR(IF(Loan_Not_Paid*Values_Entered,Beginning_Balance,""), "")</f>
        <v/>
      </c>
      <c r="D254" s="23" t="str">
        <f ca="1">IFERROR(IF(Loan_Not_Paid*Values_Entered,Monthly_Payment,""), "")</f>
        <v/>
      </c>
      <c r="E254" s="23" t="str">
        <f ca="1">IFERROR(IF(Loan_Not_Paid*Values_Entered,Principal,""), "")</f>
        <v/>
      </c>
      <c r="F254" s="23" t="str">
        <f ca="1">IFERROR(IF(Loan_Not_Paid*Values_Entered,Interest,""), "")</f>
        <v/>
      </c>
      <c r="G254" s="23" t="str">
        <f ca="1">IFERROR(IF(Loan_Not_Paid*Values_Entered,Ending_Balance,""), "")</f>
        <v/>
      </c>
    </row>
    <row r="255" spans="1:7">
      <c r="A255" s="21" t="str">
        <f ca="1">IFERROR(IF(Loan_Not_Paid*Values_Entered,Payment_Number,""), "")</f>
        <v/>
      </c>
      <c r="B255" s="22" t="str">
        <f ca="1">IFERROR(IF(Loan_Not_Paid*Values_Entered,Payment_Date,""), "")</f>
        <v/>
      </c>
      <c r="C255" s="23" t="str">
        <f ca="1">IFERROR(IF(Loan_Not_Paid*Values_Entered,Beginning_Balance,""), "")</f>
        <v/>
      </c>
      <c r="D255" s="23" t="str">
        <f ca="1">IFERROR(IF(Loan_Not_Paid*Values_Entered,Monthly_Payment,""), "")</f>
        <v/>
      </c>
      <c r="E255" s="23" t="str">
        <f ca="1">IFERROR(IF(Loan_Not_Paid*Values_Entered,Principal,""), "")</f>
        <v/>
      </c>
      <c r="F255" s="23" t="str">
        <f ca="1">IFERROR(IF(Loan_Not_Paid*Values_Entered,Interest,""), "")</f>
        <v/>
      </c>
      <c r="G255" s="23" t="str">
        <f ca="1">IFERROR(IF(Loan_Not_Paid*Values_Entered,Ending_Balance,""), "")</f>
        <v/>
      </c>
    </row>
    <row r="256" spans="1:7">
      <c r="A256" s="21" t="str">
        <f ca="1">IFERROR(IF(Loan_Not_Paid*Values_Entered,Payment_Number,""), "")</f>
        <v/>
      </c>
      <c r="B256" s="22" t="str">
        <f ca="1">IFERROR(IF(Loan_Not_Paid*Values_Entered,Payment_Date,""), "")</f>
        <v/>
      </c>
      <c r="C256" s="23" t="str">
        <f ca="1">IFERROR(IF(Loan_Not_Paid*Values_Entered,Beginning_Balance,""), "")</f>
        <v/>
      </c>
      <c r="D256" s="23" t="str">
        <f ca="1">IFERROR(IF(Loan_Not_Paid*Values_Entered,Monthly_Payment,""), "")</f>
        <v/>
      </c>
      <c r="E256" s="23" t="str">
        <f ca="1">IFERROR(IF(Loan_Not_Paid*Values_Entered,Principal,""), "")</f>
        <v/>
      </c>
      <c r="F256" s="23" t="str">
        <f ca="1">IFERROR(IF(Loan_Not_Paid*Values_Entered,Interest,""), "")</f>
        <v/>
      </c>
      <c r="G256" s="23" t="str">
        <f ca="1">IFERROR(IF(Loan_Not_Paid*Values_Entered,Ending_Balance,""), "")</f>
        <v/>
      </c>
    </row>
    <row r="257" spans="1:7">
      <c r="A257" s="21" t="str">
        <f ca="1">IFERROR(IF(Loan_Not_Paid*Values_Entered,Payment_Number,""), "")</f>
        <v/>
      </c>
      <c r="B257" s="22" t="str">
        <f ca="1">IFERROR(IF(Loan_Not_Paid*Values_Entered,Payment_Date,""), "")</f>
        <v/>
      </c>
      <c r="C257" s="23" t="str">
        <f ca="1">IFERROR(IF(Loan_Not_Paid*Values_Entered,Beginning_Balance,""), "")</f>
        <v/>
      </c>
      <c r="D257" s="23" t="str">
        <f ca="1">IFERROR(IF(Loan_Not_Paid*Values_Entered,Monthly_Payment,""), "")</f>
        <v/>
      </c>
      <c r="E257" s="23" t="str">
        <f ca="1">IFERROR(IF(Loan_Not_Paid*Values_Entered,Principal,""), "")</f>
        <v/>
      </c>
      <c r="F257" s="23" t="str">
        <f ca="1">IFERROR(IF(Loan_Not_Paid*Values_Entered,Interest,""), "")</f>
        <v/>
      </c>
      <c r="G257" s="23" t="str">
        <f ca="1">IFERROR(IF(Loan_Not_Paid*Values_Entered,Ending_Balance,""), "")</f>
        <v/>
      </c>
    </row>
    <row r="258" spans="1:7">
      <c r="A258" s="21" t="str">
        <f ca="1">IFERROR(IF(Loan_Not_Paid*Values_Entered,Payment_Number,""), "")</f>
        <v/>
      </c>
      <c r="B258" s="22" t="str">
        <f ca="1">IFERROR(IF(Loan_Not_Paid*Values_Entered,Payment_Date,""), "")</f>
        <v/>
      </c>
      <c r="C258" s="23" t="str">
        <f ca="1">IFERROR(IF(Loan_Not_Paid*Values_Entered,Beginning_Balance,""), "")</f>
        <v/>
      </c>
      <c r="D258" s="23" t="str">
        <f ca="1">IFERROR(IF(Loan_Not_Paid*Values_Entered,Monthly_Payment,""), "")</f>
        <v/>
      </c>
      <c r="E258" s="23" t="str">
        <f ca="1">IFERROR(IF(Loan_Not_Paid*Values_Entered,Principal,""), "")</f>
        <v/>
      </c>
      <c r="F258" s="23" t="str">
        <f ca="1">IFERROR(IF(Loan_Not_Paid*Values_Entered,Interest,""), "")</f>
        <v/>
      </c>
      <c r="G258" s="23" t="str">
        <f ca="1">IFERROR(IF(Loan_Not_Paid*Values_Entered,Ending_Balance,""), "")</f>
        <v/>
      </c>
    </row>
    <row r="259" spans="1:7">
      <c r="A259" s="21" t="str">
        <f ca="1">IFERROR(IF(Loan_Not_Paid*Values_Entered,Payment_Number,""), "")</f>
        <v/>
      </c>
      <c r="B259" s="22" t="str">
        <f ca="1">IFERROR(IF(Loan_Not_Paid*Values_Entered,Payment_Date,""), "")</f>
        <v/>
      </c>
      <c r="C259" s="23" t="str">
        <f ca="1">IFERROR(IF(Loan_Not_Paid*Values_Entered,Beginning_Balance,""), "")</f>
        <v/>
      </c>
      <c r="D259" s="23" t="str">
        <f ca="1">IFERROR(IF(Loan_Not_Paid*Values_Entered,Monthly_Payment,""), "")</f>
        <v/>
      </c>
      <c r="E259" s="23" t="str">
        <f ca="1">IFERROR(IF(Loan_Not_Paid*Values_Entered,Principal,""), "")</f>
        <v/>
      </c>
      <c r="F259" s="23" t="str">
        <f ca="1">IFERROR(IF(Loan_Not_Paid*Values_Entered,Interest,""), "")</f>
        <v/>
      </c>
      <c r="G259" s="23" t="str">
        <f ca="1">IFERROR(IF(Loan_Not_Paid*Values_Entered,Ending_Balance,""), "")</f>
        <v/>
      </c>
    </row>
    <row r="260" spans="1:7">
      <c r="A260" s="21" t="str">
        <f ca="1">IFERROR(IF(Loan_Not_Paid*Values_Entered,Payment_Number,""), "")</f>
        <v/>
      </c>
      <c r="B260" s="22" t="str">
        <f ca="1">IFERROR(IF(Loan_Not_Paid*Values_Entered,Payment_Date,""), "")</f>
        <v/>
      </c>
      <c r="C260" s="23" t="str">
        <f ca="1">IFERROR(IF(Loan_Not_Paid*Values_Entered,Beginning_Balance,""), "")</f>
        <v/>
      </c>
      <c r="D260" s="23" t="str">
        <f ca="1">IFERROR(IF(Loan_Not_Paid*Values_Entered,Monthly_Payment,""), "")</f>
        <v/>
      </c>
      <c r="E260" s="23" t="str">
        <f ca="1">IFERROR(IF(Loan_Not_Paid*Values_Entered,Principal,""), "")</f>
        <v/>
      </c>
      <c r="F260" s="23" t="str">
        <f ca="1">IFERROR(IF(Loan_Not_Paid*Values_Entered,Interest,""), "")</f>
        <v/>
      </c>
      <c r="G260" s="23" t="str">
        <f ca="1">IFERROR(IF(Loan_Not_Paid*Values_Entered,Ending_Balance,""), "")</f>
        <v/>
      </c>
    </row>
    <row r="261" spans="1:7">
      <c r="A261" s="21" t="str">
        <f ca="1">IFERROR(IF(Loan_Not_Paid*Values_Entered,Payment_Number,""), "")</f>
        <v/>
      </c>
      <c r="B261" s="22" t="str">
        <f ca="1">IFERROR(IF(Loan_Not_Paid*Values_Entered,Payment_Date,""), "")</f>
        <v/>
      </c>
      <c r="C261" s="23" t="str">
        <f ca="1">IFERROR(IF(Loan_Not_Paid*Values_Entered,Beginning_Balance,""), "")</f>
        <v/>
      </c>
      <c r="D261" s="23" t="str">
        <f ca="1">IFERROR(IF(Loan_Not_Paid*Values_Entered,Monthly_Payment,""), "")</f>
        <v/>
      </c>
      <c r="E261" s="23" t="str">
        <f ca="1">IFERROR(IF(Loan_Not_Paid*Values_Entered,Principal,""), "")</f>
        <v/>
      </c>
      <c r="F261" s="23" t="str">
        <f ca="1">IFERROR(IF(Loan_Not_Paid*Values_Entered,Interest,""), "")</f>
        <v/>
      </c>
      <c r="G261" s="23" t="str">
        <f ca="1">IFERROR(IF(Loan_Not_Paid*Values_Entered,Ending_Balance,""), "")</f>
        <v/>
      </c>
    </row>
    <row r="262" spans="1:7">
      <c r="A262" s="21" t="str">
        <f ca="1">IFERROR(IF(Loan_Not_Paid*Values_Entered,Payment_Number,""), "")</f>
        <v/>
      </c>
      <c r="B262" s="22" t="str">
        <f ca="1">IFERROR(IF(Loan_Not_Paid*Values_Entered,Payment_Date,""), "")</f>
        <v/>
      </c>
      <c r="C262" s="23" t="str">
        <f ca="1">IFERROR(IF(Loan_Not_Paid*Values_Entered,Beginning_Balance,""), "")</f>
        <v/>
      </c>
      <c r="D262" s="23" t="str">
        <f ca="1">IFERROR(IF(Loan_Not_Paid*Values_Entered,Monthly_Payment,""), "")</f>
        <v/>
      </c>
      <c r="E262" s="23" t="str">
        <f ca="1">IFERROR(IF(Loan_Not_Paid*Values_Entered,Principal,""), "")</f>
        <v/>
      </c>
      <c r="F262" s="23" t="str">
        <f ca="1">IFERROR(IF(Loan_Not_Paid*Values_Entered,Interest,""), "")</f>
        <v/>
      </c>
      <c r="G262" s="23" t="str">
        <f ca="1">IFERROR(IF(Loan_Not_Paid*Values_Entered,Ending_Balance,""), "")</f>
        <v/>
      </c>
    </row>
    <row r="263" spans="1:7">
      <c r="A263" s="21" t="str">
        <f ca="1">IFERROR(IF(Loan_Not_Paid*Values_Entered,Payment_Number,""), "")</f>
        <v/>
      </c>
      <c r="B263" s="22" t="str">
        <f ca="1">IFERROR(IF(Loan_Not_Paid*Values_Entered,Payment_Date,""), "")</f>
        <v/>
      </c>
      <c r="C263" s="23" t="str">
        <f ca="1">IFERROR(IF(Loan_Not_Paid*Values_Entered,Beginning_Balance,""), "")</f>
        <v/>
      </c>
      <c r="D263" s="23" t="str">
        <f ca="1">IFERROR(IF(Loan_Not_Paid*Values_Entered,Monthly_Payment,""), "")</f>
        <v/>
      </c>
      <c r="E263" s="23" t="str">
        <f ca="1">IFERROR(IF(Loan_Not_Paid*Values_Entered,Principal,""), "")</f>
        <v/>
      </c>
      <c r="F263" s="23" t="str">
        <f ca="1">IFERROR(IF(Loan_Not_Paid*Values_Entered,Interest,""), "")</f>
        <v/>
      </c>
      <c r="G263" s="23" t="str">
        <f ca="1">IFERROR(IF(Loan_Not_Paid*Values_Entered,Ending_Balance,""), "")</f>
        <v/>
      </c>
    </row>
    <row r="264" spans="1:7">
      <c r="A264" s="21" t="str">
        <f ca="1">IFERROR(IF(Loan_Not_Paid*Values_Entered,Payment_Number,""), "")</f>
        <v/>
      </c>
      <c r="B264" s="22" t="str">
        <f ca="1">IFERROR(IF(Loan_Not_Paid*Values_Entered,Payment_Date,""), "")</f>
        <v/>
      </c>
      <c r="C264" s="23" t="str">
        <f ca="1">IFERROR(IF(Loan_Not_Paid*Values_Entered,Beginning_Balance,""), "")</f>
        <v/>
      </c>
      <c r="D264" s="23" t="str">
        <f ca="1">IFERROR(IF(Loan_Not_Paid*Values_Entered,Monthly_Payment,""), "")</f>
        <v/>
      </c>
      <c r="E264" s="23" t="str">
        <f ca="1">IFERROR(IF(Loan_Not_Paid*Values_Entered,Principal,""), "")</f>
        <v/>
      </c>
      <c r="F264" s="23" t="str">
        <f ca="1">IFERROR(IF(Loan_Not_Paid*Values_Entered,Interest,""), "")</f>
        <v/>
      </c>
      <c r="G264" s="23" t="str">
        <f ca="1">IFERROR(IF(Loan_Not_Paid*Values_Entered,Ending_Balance,""), "")</f>
        <v/>
      </c>
    </row>
    <row r="265" spans="1:7">
      <c r="A265" s="21" t="str">
        <f ca="1">IFERROR(IF(Loan_Not_Paid*Values_Entered,Payment_Number,""), "")</f>
        <v/>
      </c>
      <c r="B265" s="22" t="str">
        <f ca="1">IFERROR(IF(Loan_Not_Paid*Values_Entered,Payment_Date,""), "")</f>
        <v/>
      </c>
      <c r="C265" s="23" t="str">
        <f ca="1">IFERROR(IF(Loan_Not_Paid*Values_Entered,Beginning_Balance,""), "")</f>
        <v/>
      </c>
      <c r="D265" s="23" t="str">
        <f ca="1">IFERROR(IF(Loan_Not_Paid*Values_Entered,Monthly_Payment,""), "")</f>
        <v/>
      </c>
      <c r="E265" s="23" t="str">
        <f ca="1">IFERROR(IF(Loan_Not_Paid*Values_Entered,Principal,""), "")</f>
        <v/>
      </c>
      <c r="F265" s="23" t="str">
        <f ca="1">IFERROR(IF(Loan_Not_Paid*Values_Entered,Interest,""), "")</f>
        <v/>
      </c>
      <c r="G265" s="23" t="str">
        <f ca="1">IFERROR(IF(Loan_Not_Paid*Values_Entered,Ending_Balance,""), "")</f>
        <v/>
      </c>
    </row>
    <row r="266" spans="1:7">
      <c r="A266" s="21" t="str">
        <f ca="1">IFERROR(IF(Loan_Not_Paid*Values_Entered,Payment_Number,""), "")</f>
        <v/>
      </c>
      <c r="B266" s="22" t="str">
        <f ca="1">IFERROR(IF(Loan_Not_Paid*Values_Entered,Payment_Date,""), "")</f>
        <v/>
      </c>
      <c r="C266" s="23" t="str">
        <f ca="1">IFERROR(IF(Loan_Not_Paid*Values_Entered,Beginning_Balance,""), "")</f>
        <v/>
      </c>
      <c r="D266" s="23" t="str">
        <f ca="1">IFERROR(IF(Loan_Not_Paid*Values_Entered,Monthly_Payment,""), "")</f>
        <v/>
      </c>
      <c r="E266" s="23" t="str">
        <f ca="1">IFERROR(IF(Loan_Not_Paid*Values_Entered,Principal,""), "")</f>
        <v/>
      </c>
      <c r="F266" s="23" t="str">
        <f ca="1">IFERROR(IF(Loan_Not_Paid*Values_Entered,Interest,""), "")</f>
        <v/>
      </c>
      <c r="G266" s="23" t="str">
        <f ca="1">IFERROR(IF(Loan_Not_Paid*Values_Entered,Ending_Balance,""), "")</f>
        <v/>
      </c>
    </row>
    <row r="267" spans="1:7">
      <c r="A267" s="21" t="str">
        <f ca="1">IFERROR(IF(Loan_Not_Paid*Values_Entered,Payment_Number,""), "")</f>
        <v/>
      </c>
      <c r="B267" s="22" t="str">
        <f ca="1">IFERROR(IF(Loan_Not_Paid*Values_Entered,Payment_Date,""), "")</f>
        <v/>
      </c>
      <c r="C267" s="23" t="str">
        <f ca="1">IFERROR(IF(Loan_Not_Paid*Values_Entered,Beginning_Balance,""), "")</f>
        <v/>
      </c>
      <c r="D267" s="23" t="str">
        <f ca="1">IFERROR(IF(Loan_Not_Paid*Values_Entered,Monthly_Payment,""), "")</f>
        <v/>
      </c>
      <c r="E267" s="23" t="str">
        <f ca="1">IFERROR(IF(Loan_Not_Paid*Values_Entered,Principal,""), "")</f>
        <v/>
      </c>
      <c r="F267" s="23" t="str">
        <f ca="1">IFERROR(IF(Loan_Not_Paid*Values_Entered,Interest,""), "")</f>
        <v/>
      </c>
      <c r="G267" s="23" t="str">
        <f ca="1">IFERROR(IF(Loan_Not_Paid*Values_Entered,Ending_Balance,""), "")</f>
        <v/>
      </c>
    </row>
    <row r="268" spans="1:7">
      <c r="A268" s="21" t="str">
        <f ca="1">IFERROR(IF(Loan_Not_Paid*Values_Entered,Payment_Number,""), "")</f>
        <v/>
      </c>
      <c r="B268" s="22" t="str">
        <f ca="1">IFERROR(IF(Loan_Not_Paid*Values_Entered,Payment_Date,""), "")</f>
        <v/>
      </c>
      <c r="C268" s="23" t="str">
        <f ca="1">IFERROR(IF(Loan_Not_Paid*Values_Entered,Beginning_Balance,""), "")</f>
        <v/>
      </c>
      <c r="D268" s="23" t="str">
        <f ca="1">IFERROR(IF(Loan_Not_Paid*Values_Entered,Monthly_Payment,""), "")</f>
        <v/>
      </c>
      <c r="E268" s="23" t="str">
        <f ca="1">IFERROR(IF(Loan_Not_Paid*Values_Entered,Principal,""), "")</f>
        <v/>
      </c>
      <c r="F268" s="23" t="str">
        <f ca="1">IFERROR(IF(Loan_Not_Paid*Values_Entered,Interest,""), "")</f>
        <v/>
      </c>
      <c r="G268" s="23" t="str">
        <f ca="1">IFERROR(IF(Loan_Not_Paid*Values_Entered,Ending_Balance,""), "")</f>
        <v/>
      </c>
    </row>
    <row r="269" spans="1:7">
      <c r="A269" s="21" t="str">
        <f ca="1">IFERROR(IF(Loan_Not_Paid*Values_Entered,Payment_Number,""), "")</f>
        <v/>
      </c>
      <c r="B269" s="22" t="str">
        <f ca="1">IFERROR(IF(Loan_Not_Paid*Values_Entered,Payment_Date,""), "")</f>
        <v/>
      </c>
      <c r="C269" s="23" t="str">
        <f ca="1">IFERROR(IF(Loan_Not_Paid*Values_Entered,Beginning_Balance,""), "")</f>
        <v/>
      </c>
      <c r="D269" s="23" t="str">
        <f ca="1">IFERROR(IF(Loan_Not_Paid*Values_Entered,Monthly_Payment,""), "")</f>
        <v/>
      </c>
      <c r="E269" s="23" t="str">
        <f ca="1">IFERROR(IF(Loan_Not_Paid*Values_Entered,Principal,""), "")</f>
        <v/>
      </c>
      <c r="F269" s="23" t="str">
        <f ca="1">IFERROR(IF(Loan_Not_Paid*Values_Entered,Interest,""), "")</f>
        <v/>
      </c>
      <c r="G269" s="23" t="str">
        <f ca="1">IFERROR(IF(Loan_Not_Paid*Values_Entered,Ending_Balance,""), "")</f>
        <v/>
      </c>
    </row>
    <row r="270" spans="1:7">
      <c r="A270" s="21" t="str">
        <f ca="1">IFERROR(IF(Loan_Not_Paid*Values_Entered,Payment_Number,""), "")</f>
        <v/>
      </c>
      <c r="B270" s="22" t="str">
        <f ca="1">IFERROR(IF(Loan_Not_Paid*Values_Entered,Payment_Date,""), "")</f>
        <v/>
      </c>
      <c r="C270" s="23" t="str">
        <f ca="1">IFERROR(IF(Loan_Not_Paid*Values_Entered,Beginning_Balance,""), "")</f>
        <v/>
      </c>
      <c r="D270" s="23" t="str">
        <f ca="1">IFERROR(IF(Loan_Not_Paid*Values_Entered,Monthly_Payment,""), "")</f>
        <v/>
      </c>
      <c r="E270" s="23" t="str">
        <f ca="1">IFERROR(IF(Loan_Not_Paid*Values_Entered,Principal,""), "")</f>
        <v/>
      </c>
      <c r="F270" s="23" t="str">
        <f ca="1">IFERROR(IF(Loan_Not_Paid*Values_Entered,Interest,""), "")</f>
        <v/>
      </c>
      <c r="G270" s="23" t="str">
        <f ca="1">IFERROR(IF(Loan_Not_Paid*Values_Entered,Ending_Balance,""), "")</f>
        <v/>
      </c>
    </row>
    <row r="271" spans="1:7">
      <c r="A271" s="21" t="str">
        <f ca="1">IFERROR(IF(Loan_Not_Paid*Values_Entered,Payment_Number,""), "")</f>
        <v/>
      </c>
      <c r="B271" s="22" t="str">
        <f ca="1">IFERROR(IF(Loan_Not_Paid*Values_Entered,Payment_Date,""), "")</f>
        <v/>
      </c>
      <c r="C271" s="23" t="str">
        <f ca="1">IFERROR(IF(Loan_Not_Paid*Values_Entered,Beginning_Balance,""), "")</f>
        <v/>
      </c>
      <c r="D271" s="23" t="str">
        <f ca="1">IFERROR(IF(Loan_Not_Paid*Values_Entered,Monthly_Payment,""), "")</f>
        <v/>
      </c>
      <c r="E271" s="23" t="str">
        <f ca="1">IFERROR(IF(Loan_Not_Paid*Values_Entered,Principal,""), "")</f>
        <v/>
      </c>
      <c r="F271" s="23" t="str">
        <f ca="1">IFERROR(IF(Loan_Not_Paid*Values_Entered,Interest,""), "")</f>
        <v/>
      </c>
      <c r="G271" s="23" t="str">
        <f ca="1">IFERROR(IF(Loan_Not_Paid*Values_Entered,Ending_Balance,""), "")</f>
        <v/>
      </c>
    </row>
    <row r="272" spans="1:7">
      <c r="A272" s="21" t="str">
        <f ca="1">IFERROR(IF(Loan_Not_Paid*Values_Entered,Payment_Number,""), "")</f>
        <v/>
      </c>
      <c r="B272" s="22" t="str">
        <f ca="1">IFERROR(IF(Loan_Not_Paid*Values_Entered,Payment_Date,""), "")</f>
        <v/>
      </c>
      <c r="C272" s="23" t="str">
        <f ca="1">IFERROR(IF(Loan_Not_Paid*Values_Entered,Beginning_Balance,""), "")</f>
        <v/>
      </c>
      <c r="D272" s="23" t="str">
        <f ca="1">IFERROR(IF(Loan_Not_Paid*Values_Entered,Monthly_Payment,""), "")</f>
        <v/>
      </c>
      <c r="E272" s="23" t="str">
        <f ca="1">IFERROR(IF(Loan_Not_Paid*Values_Entered,Principal,""), "")</f>
        <v/>
      </c>
      <c r="F272" s="23" t="str">
        <f ca="1">IFERROR(IF(Loan_Not_Paid*Values_Entered,Interest,""), "")</f>
        <v/>
      </c>
      <c r="G272" s="23" t="str">
        <f ca="1">IFERROR(IF(Loan_Not_Paid*Values_Entered,Ending_Balance,""), "")</f>
        <v/>
      </c>
    </row>
    <row r="273" spans="1:7">
      <c r="A273" s="21" t="str">
        <f ca="1">IFERROR(IF(Loan_Not_Paid*Values_Entered,Payment_Number,""), "")</f>
        <v/>
      </c>
      <c r="B273" s="22" t="str">
        <f ca="1">IFERROR(IF(Loan_Not_Paid*Values_Entered,Payment_Date,""), "")</f>
        <v/>
      </c>
      <c r="C273" s="23" t="str">
        <f ca="1">IFERROR(IF(Loan_Not_Paid*Values_Entered,Beginning_Balance,""), "")</f>
        <v/>
      </c>
      <c r="D273" s="23" t="str">
        <f ca="1">IFERROR(IF(Loan_Not_Paid*Values_Entered,Monthly_Payment,""), "")</f>
        <v/>
      </c>
      <c r="E273" s="23" t="str">
        <f ca="1">IFERROR(IF(Loan_Not_Paid*Values_Entered,Principal,""), "")</f>
        <v/>
      </c>
      <c r="F273" s="23" t="str">
        <f ca="1">IFERROR(IF(Loan_Not_Paid*Values_Entered,Interest,""), "")</f>
        <v/>
      </c>
      <c r="G273" s="23" t="str">
        <f ca="1">IFERROR(IF(Loan_Not_Paid*Values_Entered,Ending_Balance,""), "")</f>
        <v/>
      </c>
    </row>
    <row r="274" spans="1:7">
      <c r="A274" s="21" t="str">
        <f ca="1">IFERROR(IF(Loan_Not_Paid*Values_Entered,Payment_Number,""), "")</f>
        <v/>
      </c>
      <c r="B274" s="22" t="str">
        <f ca="1">IFERROR(IF(Loan_Not_Paid*Values_Entered,Payment_Date,""), "")</f>
        <v/>
      </c>
      <c r="C274" s="23" t="str">
        <f ca="1">IFERROR(IF(Loan_Not_Paid*Values_Entered,Beginning_Balance,""), "")</f>
        <v/>
      </c>
      <c r="D274" s="23" t="str">
        <f ca="1">IFERROR(IF(Loan_Not_Paid*Values_Entered,Monthly_Payment,""), "")</f>
        <v/>
      </c>
      <c r="E274" s="23" t="str">
        <f ca="1">IFERROR(IF(Loan_Not_Paid*Values_Entered,Principal,""), "")</f>
        <v/>
      </c>
      <c r="F274" s="23" t="str">
        <f ca="1">IFERROR(IF(Loan_Not_Paid*Values_Entered,Interest,""), "")</f>
        <v/>
      </c>
      <c r="G274" s="23" t="str">
        <f ca="1">IFERROR(IF(Loan_Not_Paid*Values_Entered,Ending_Balance,""), "")</f>
        <v/>
      </c>
    </row>
    <row r="275" spans="1:7">
      <c r="A275" s="21" t="str">
        <f ca="1">IFERROR(IF(Loan_Not_Paid*Values_Entered,Payment_Number,""), "")</f>
        <v/>
      </c>
      <c r="B275" s="22" t="str">
        <f ca="1">IFERROR(IF(Loan_Not_Paid*Values_Entered,Payment_Date,""), "")</f>
        <v/>
      </c>
      <c r="C275" s="23" t="str">
        <f ca="1">IFERROR(IF(Loan_Not_Paid*Values_Entered,Beginning_Balance,""), "")</f>
        <v/>
      </c>
      <c r="D275" s="23" t="str">
        <f ca="1">IFERROR(IF(Loan_Not_Paid*Values_Entered,Monthly_Payment,""), "")</f>
        <v/>
      </c>
      <c r="E275" s="23" t="str">
        <f ca="1">IFERROR(IF(Loan_Not_Paid*Values_Entered,Principal,""), "")</f>
        <v/>
      </c>
      <c r="F275" s="23" t="str">
        <f ca="1">IFERROR(IF(Loan_Not_Paid*Values_Entered,Interest,""), "")</f>
        <v/>
      </c>
      <c r="G275" s="23" t="str">
        <f ca="1">IFERROR(IF(Loan_Not_Paid*Values_Entered,Ending_Balance,""), "")</f>
        <v/>
      </c>
    </row>
    <row r="276" spans="1:7">
      <c r="A276" s="21" t="str">
        <f ca="1">IFERROR(IF(Loan_Not_Paid*Values_Entered,Payment_Number,""), "")</f>
        <v/>
      </c>
      <c r="B276" s="22" t="str">
        <f ca="1">IFERROR(IF(Loan_Not_Paid*Values_Entered,Payment_Date,""), "")</f>
        <v/>
      </c>
      <c r="C276" s="23" t="str">
        <f ca="1">IFERROR(IF(Loan_Not_Paid*Values_Entered,Beginning_Balance,""), "")</f>
        <v/>
      </c>
      <c r="D276" s="23" t="str">
        <f ca="1">IFERROR(IF(Loan_Not_Paid*Values_Entered,Monthly_Payment,""), "")</f>
        <v/>
      </c>
      <c r="E276" s="23" t="str">
        <f ca="1">IFERROR(IF(Loan_Not_Paid*Values_Entered,Principal,""), "")</f>
        <v/>
      </c>
      <c r="F276" s="23" t="str">
        <f ca="1">IFERROR(IF(Loan_Not_Paid*Values_Entered,Interest,""), "")</f>
        <v/>
      </c>
      <c r="G276" s="23" t="str">
        <f ca="1">IFERROR(IF(Loan_Not_Paid*Values_Entered,Ending_Balance,""), "")</f>
        <v/>
      </c>
    </row>
    <row r="277" spans="1:7">
      <c r="A277" s="21" t="str">
        <f ca="1">IFERROR(IF(Loan_Not_Paid*Values_Entered,Payment_Number,""), "")</f>
        <v/>
      </c>
      <c r="B277" s="22" t="str">
        <f ca="1">IFERROR(IF(Loan_Not_Paid*Values_Entered,Payment_Date,""), "")</f>
        <v/>
      </c>
      <c r="C277" s="23" t="str">
        <f ca="1">IFERROR(IF(Loan_Not_Paid*Values_Entered,Beginning_Balance,""), "")</f>
        <v/>
      </c>
      <c r="D277" s="23" t="str">
        <f ca="1">IFERROR(IF(Loan_Not_Paid*Values_Entered,Monthly_Payment,""), "")</f>
        <v/>
      </c>
      <c r="E277" s="23" t="str">
        <f ca="1">IFERROR(IF(Loan_Not_Paid*Values_Entered,Principal,""), "")</f>
        <v/>
      </c>
      <c r="F277" s="23" t="str">
        <f ca="1">IFERROR(IF(Loan_Not_Paid*Values_Entered,Interest,""), "")</f>
        <v/>
      </c>
      <c r="G277" s="23" t="str">
        <f ca="1">IFERROR(IF(Loan_Not_Paid*Values_Entered,Ending_Balance,""), "")</f>
        <v/>
      </c>
    </row>
    <row r="278" spans="1:7">
      <c r="A278" s="21" t="str">
        <f ca="1">IFERROR(IF(Loan_Not_Paid*Values_Entered,Payment_Number,""), "")</f>
        <v/>
      </c>
      <c r="B278" s="22" t="str">
        <f ca="1">IFERROR(IF(Loan_Not_Paid*Values_Entered,Payment_Date,""), "")</f>
        <v/>
      </c>
      <c r="C278" s="23" t="str">
        <f ca="1">IFERROR(IF(Loan_Not_Paid*Values_Entered,Beginning_Balance,""), "")</f>
        <v/>
      </c>
      <c r="D278" s="23" t="str">
        <f ca="1">IFERROR(IF(Loan_Not_Paid*Values_Entered,Monthly_Payment,""), "")</f>
        <v/>
      </c>
      <c r="E278" s="23" t="str">
        <f ca="1">IFERROR(IF(Loan_Not_Paid*Values_Entered,Principal,""), "")</f>
        <v/>
      </c>
      <c r="F278" s="23" t="str">
        <f ca="1">IFERROR(IF(Loan_Not_Paid*Values_Entered,Interest,""), "")</f>
        <v/>
      </c>
      <c r="G278" s="23" t="str">
        <f ca="1">IFERROR(IF(Loan_Not_Paid*Values_Entered,Ending_Balance,""), "")</f>
        <v/>
      </c>
    </row>
    <row r="279" spans="1:7">
      <c r="A279" s="21" t="str">
        <f ca="1">IFERROR(IF(Loan_Not_Paid*Values_Entered,Payment_Number,""), "")</f>
        <v/>
      </c>
      <c r="B279" s="22" t="str">
        <f ca="1">IFERROR(IF(Loan_Not_Paid*Values_Entered,Payment_Date,""), "")</f>
        <v/>
      </c>
      <c r="C279" s="23" t="str">
        <f ca="1">IFERROR(IF(Loan_Not_Paid*Values_Entered,Beginning_Balance,""), "")</f>
        <v/>
      </c>
      <c r="D279" s="23" t="str">
        <f ca="1">IFERROR(IF(Loan_Not_Paid*Values_Entered,Monthly_Payment,""), "")</f>
        <v/>
      </c>
      <c r="E279" s="23" t="str">
        <f ca="1">IFERROR(IF(Loan_Not_Paid*Values_Entered,Principal,""), "")</f>
        <v/>
      </c>
      <c r="F279" s="23" t="str">
        <f ca="1">IFERROR(IF(Loan_Not_Paid*Values_Entered,Interest,""), "")</f>
        <v/>
      </c>
      <c r="G279" s="23" t="str">
        <f ca="1">IFERROR(IF(Loan_Not_Paid*Values_Entered,Ending_Balance,""), "")</f>
        <v/>
      </c>
    </row>
    <row r="280" spans="1:7">
      <c r="A280" s="21" t="str">
        <f ca="1">IFERROR(IF(Loan_Not_Paid*Values_Entered,Payment_Number,""), "")</f>
        <v/>
      </c>
      <c r="B280" s="22" t="str">
        <f ca="1">IFERROR(IF(Loan_Not_Paid*Values_Entered,Payment_Date,""), "")</f>
        <v/>
      </c>
      <c r="C280" s="23" t="str">
        <f ca="1">IFERROR(IF(Loan_Not_Paid*Values_Entered,Beginning_Balance,""), "")</f>
        <v/>
      </c>
      <c r="D280" s="23" t="str">
        <f ca="1">IFERROR(IF(Loan_Not_Paid*Values_Entered,Monthly_Payment,""), "")</f>
        <v/>
      </c>
      <c r="E280" s="23" t="str">
        <f ca="1">IFERROR(IF(Loan_Not_Paid*Values_Entered,Principal,""), "")</f>
        <v/>
      </c>
      <c r="F280" s="23" t="str">
        <f ca="1">IFERROR(IF(Loan_Not_Paid*Values_Entered,Interest,""), "")</f>
        <v/>
      </c>
      <c r="G280" s="23" t="str">
        <f ca="1">IFERROR(IF(Loan_Not_Paid*Values_Entered,Ending_Balance,""), "")</f>
        <v/>
      </c>
    </row>
    <row r="281" spans="1:7">
      <c r="A281" s="21" t="str">
        <f ca="1">IFERROR(IF(Loan_Not_Paid*Values_Entered,Payment_Number,""), "")</f>
        <v/>
      </c>
      <c r="B281" s="22" t="str">
        <f ca="1">IFERROR(IF(Loan_Not_Paid*Values_Entered,Payment_Date,""), "")</f>
        <v/>
      </c>
      <c r="C281" s="23" t="str">
        <f ca="1">IFERROR(IF(Loan_Not_Paid*Values_Entered,Beginning_Balance,""), "")</f>
        <v/>
      </c>
      <c r="D281" s="23" t="str">
        <f ca="1">IFERROR(IF(Loan_Not_Paid*Values_Entered,Monthly_Payment,""), "")</f>
        <v/>
      </c>
      <c r="E281" s="23" t="str">
        <f ca="1">IFERROR(IF(Loan_Not_Paid*Values_Entered,Principal,""), "")</f>
        <v/>
      </c>
      <c r="F281" s="23" t="str">
        <f ca="1">IFERROR(IF(Loan_Not_Paid*Values_Entered,Interest,""), "")</f>
        <v/>
      </c>
      <c r="G281" s="23" t="str">
        <f ca="1">IFERROR(IF(Loan_Not_Paid*Values_Entered,Ending_Balance,""), "")</f>
        <v/>
      </c>
    </row>
    <row r="282" spans="1:7">
      <c r="A282" s="21" t="str">
        <f ca="1">IFERROR(IF(Loan_Not_Paid*Values_Entered,Payment_Number,""), "")</f>
        <v/>
      </c>
      <c r="B282" s="22" t="str">
        <f ca="1">IFERROR(IF(Loan_Not_Paid*Values_Entered,Payment_Date,""), "")</f>
        <v/>
      </c>
      <c r="C282" s="23" t="str">
        <f ca="1">IFERROR(IF(Loan_Not_Paid*Values_Entered,Beginning_Balance,""), "")</f>
        <v/>
      </c>
      <c r="D282" s="23" t="str">
        <f ca="1">IFERROR(IF(Loan_Not_Paid*Values_Entered,Monthly_Payment,""), "")</f>
        <v/>
      </c>
      <c r="E282" s="23" t="str">
        <f ca="1">IFERROR(IF(Loan_Not_Paid*Values_Entered,Principal,""), "")</f>
        <v/>
      </c>
      <c r="F282" s="23" t="str">
        <f ca="1">IFERROR(IF(Loan_Not_Paid*Values_Entered,Interest,""), "")</f>
        <v/>
      </c>
      <c r="G282" s="23" t="str">
        <f ca="1">IFERROR(IF(Loan_Not_Paid*Values_Entered,Ending_Balance,""), "")</f>
        <v/>
      </c>
    </row>
    <row r="283" spans="1:7">
      <c r="A283" s="21" t="str">
        <f ca="1">IFERROR(IF(Loan_Not_Paid*Values_Entered,Payment_Number,""), "")</f>
        <v/>
      </c>
      <c r="B283" s="22" t="str">
        <f ca="1">IFERROR(IF(Loan_Not_Paid*Values_Entered,Payment_Date,""), "")</f>
        <v/>
      </c>
      <c r="C283" s="23" t="str">
        <f ca="1">IFERROR(IF(Loan_Not_Paid*Values_Entered,Beginning_Balance,""), "")</f>
        <v/>
      </c>
      <c r="D283" s="23" t="str">
        <f ca="1">IFERROR(IF(Loan_Not_Paid*Values_Entered,Monthly_Payment,""), "")</f>
        <v/>
      </c>
      <c r="E283" s="23" t="str">
        <f ca="1">IFERROR(IF(Loan_Not_Paid*Values_Entered,Principal,""), "")</f>
        <v/>
      </c>
      <c r="F283" s="23" t="str">
        <f ca="1">IFERROR(IF(Loan_Not_Paid*Values_Entered,Interest,""), "")</f>
        <v/>
      </c>
      <c r="G283" s="23" t="str">
        <f ca="1">IFERROR(IF(Loan_Not_Paid*Values_Entered,Ending_Balance,""), "")</f>
        <v/>
      </c>
    </row>
    <row r="284" spans="1:7">
      <c r="A284" s="21" t="str">
        <f ca="1">IFERROR(IF(Loan_Not_Paid*Values_Entered,Payment_Number,""), "")</f>
        <v/>
      </c>
      <c r="B284" s="22" t="str">
        <f ca="1">IFERROR(IF(Loan_Not_Paid*Values_Entered,Payment_Date,""), "")</f>
        <v/>
      </c>
      <c r="C284" s="23" t="str">
        <f ca="1">IFERROR(IF(Loan_Not_Paid*Values_Entered,Beginning_Balance,""), "")</f>
        <v/>
      </c>
      <c r="D284" s="23" t="str">
        <f ca="1">IFERROR(IF(Loan_Not_Paid*Values_Entered,Monthly_Payment,""), "")</f>
        <v/>
      </c>
      <c r="E284" s="23" t="str">
        <f ca="1">IFERROR(IF(Loan_Not_Paid*Values_Entered,Principal,""), "")</f>
        <v/>
      </c>
      <c r="F284" s="23" t="str">
        <f ca="1">IFERROR(IF(Loan_Not_Paid*Values_Entered,Interest,""), "")</f>
        <v/>
      </c>
      <c r="G284" s="23" t="str">
        <f ca="1">IFERROR(IF(Loan_Not_Paid*Values_Entered,Ending_Balance,""), "")</f>
        <v/>
      </c>
    </row>
    <row r="285" spans="1:7">
      <c r="A285" s="21" t="str">
        <f ca="1">IFERROR(IF(Loan_Not_Paid*Values_Entered,Payment_Number,""), "")</f>
        <v/>
      </c>
      <c r="B285" s="22" t="str">
        <f ca="1">IFERROR(IF(Loan_Not_Paid*Values_Entered,Payment_Date,""), "")</f>
        <v/>
      </c>
      <c r="C285" s="23" t="str">
        <f ca="1">IFERROR(IF(Loan_Not_Paid*Values_Entered,Beginning_Balance,""), "")</f>
        <v/>
      </c>
      <c r="D285" s="23" t="str">
        <f ca="1">IFERROR(IF(Loan_Not_Paid*Values_Entered,Monthly_Payment,""), "")</f>
        <v/>
      </c>
      <c r="E285" s="23" t="str">
        <f ca="1">IFERROR(IF(Loan_Not_Paid*Values_Entered,Principal,""), "")</f>
        <v/>
      </c>
      <c r="F285" s="23" t="str">
        <f ca="1">IFERROR(IF(Loan_Not_Paid*Values_Entered,Interest,""), "")</f>
        <v/>
      </c>
      <c r="G285" s="23" t="str">
        <f ca="1">IFERROR(IF(Loan_Not_Paid*Values_Entered,Ending_Balance,""), "")</f>
        <v/>
      </c>
    </row>
    <row r="286" spans="1:7">
      <c r="A286" s="21" t="str">
        <f ca="1">IFERROR(IF(Loan_Not_Paid*Values_Entered,Payment_Number,""), "")</f>
        <v/>
      </c>
      <c r="B286" s="22" t="str">
        <f ca="1">IFERROR(IF(Loan_Not_Paid*Values_Entered,Payment_Date,""), "")</f>
        <v/>
      </c>
      <c r="C286" s="23" t="str">
        <f ca="1">IFERROR(IF(Loan_Not_Paid*Values_Entered,Beginning_Balance,""), "")</f>
        <v/>
      </c>
      <c r="D286" s="23" t="str">
        <f ca="1">IFERROR(IF(Loan_Not_Paid*Values_Entered,Monthly_Payment,""), "")</f>
        <v/>
      </c>
      <c r="E286" s="23" t="str">
        <f ca="1">IFERROR(IF(Loan_Not_Paid*Values_Entered,Principal,""), "")</f>
        <v/>
      </c>
      <c r="F286" s="23" t="str">
        <f ca="1">IFERROR(IF(Loan_Not_Paid*Values_Entered,Interest,""), "")</f>
        <v/>
      </c>
      <c r="G286" s="23" t="str">
        <f ca="1">IFERROR(IF(Loan_Not_Paid*Values_Entered,Ending_Balance,""), "")</f>
        <v/>
      </c>
    </row>
    <row r="287" spans="1:7">
      <c r="A287" s="21" t="str">
        <f ca="1">IFERROR(IF(Loan_Not_Paid*Values_Entered,Payment_Number,""), "")</f>
        <v/>
      </c>
      <c r="B287" s="22" t="str">
        <f ca="1">IFERROR(IF(Loan_Not_Paid*Values_Entered,Payment_Date,""), "")</f>
        <v/>
      </c>
      <c r="C287" s="23" t="str">
        <f ca="1">IFERROR(IF(Loan_Not_Paid*Values_Entered,Beginning_Balance,""), "")</f>
        <v/>
      </c>
      <c r="D287" s="23" t="str">
        <f ca="1">IFERROR(IF(Loan_Not_Paid*Values_Entered,Monthly_Payment,""), "")</f>
        <v/>
      </c>
      <c r="E287" s="23" t="str">
        <f ca="1">IFERROR(IF(Loan_Not_Paid*Values_Entered,Principal,""), "")</f>
        <v/>
      </c>
      <c r="F287" s="23" t="str">
        <f ca="1">IFERROR(IF(Loan_Not_Paid*Values_Entered,Interest,""), "")</f>
        <v/>
      </c>
      <c r="G287" s="23" t="str">
        <f ca="1">IFERROR(IF(Loan_Not_Paid*Values_Entered,Ending_Balance,""), "")</f>
        <v/>
      </c>
    </row>
    <row r="288" spans="1:7">
      <c r="A288" s="21" t="str">
        <f ca="1">IFERROR(IF(Loan_Not_Paid*Values_Entered,Payment_Number,""), "")</f>
        <v/>
      </c>
      <c r="B288" s="22" t="str">
        <f ca="1">IFERROR(IF(Loan_Not_Paid*Values_Entered,Payment_Date,""), "")</f>
        <v/>
      </c>
      <c r="C288" s="23" t="str">
        <f ca="1">IFERROR(IF(Loan_Not_Paid*Values_Entered,Beginning_Balance,""), "")</f>
        <v/>
      </c>
      <c r="D288" s="23" t="str">
        <f ca="1">IFERROR(IF(Loan_Not_Paid*Values_Entered,Monthly_Payment,""), "")</f>
        <v/>
      </c>
      <c r="E288" s="23" t="str">
        <f ca="1">IFERROR(IF(Loan_Not_Paid*Values_Entered,Principal,""), "")</f>
        <v/>
      </c>
      <c r="F288" s="23" t="str">
        <f ca="1">IFERROR(IF(Loan_Not_Paid*Values_Entered,Interest,""), "")</f>
        <v/>
      </c>
      <c r="G288" s="23" t="str">
        <f ca="1">IFERROR(IF(Loan_Not_Paid*Values_Entered,Ending_Balance,""), "")</f>
        <v/>
      </c>
    </row>
    <row r="289" spans="1:7">
      <c r="A289" s="21" t="str">
        <f ca="1">IFERROR(IF(Loan_Not_Paid*Values_Entered,Payment_Number,""), "")</f>
        <v/>
      </c>
      <c r="B289" s="22" t="str">
        <f ca="1">IFERROR(IF(Loan_Not_Paid*Values_Entered,Payment_Date,""), "")</f>
        <v/>
      </c>
      <c r="C289" s="23" t="str">
        <f ca="1">IFERROR(IF(Loan_Not_Paid*Values_Entered,Beginning_Balance,""), "")</f>
        <v/>
      </c>
      <c r="D289" s="23" t="str">
        <f ca="1">IFERROR(IF(Loan_Not_Paid*Values_Entered,Monthly_Payment,""), "")</f>
        <v/>
      </c>
      <c r="E289" s="23" t="str">
        <f ca="1">IFERROR(IF(Loan_Not_Paid*Values_Entered,Principal,""), "")</f>
        <v/>
      </c>
      <c r="F289" s="23" t="str">
        <f ca="1">IFERROR(IF(Loan_Not_Paid*Values_Entered,Interest,""), "")</f>
        <v/>
      </c>
      <c r="G289" s="23" t="str">
        <f ca="1">IFERROR(IF(Loan_Not_Paid*Values_Entered,Ending_Balance,""), "")</f>
        <v/>
      </c>
    </row>
    <row r="290" spans="1:7">
      <c r="A290" s="21" t="str">
        <f ca="1">IFERROR(IF(Loan_Not_Paid*Values_Entered,Payment_Number,""), "")</f>
        <v/>
      </c>
      <c r="B290" s="22" t="str">
        <f ca="1">IFERROR(IF(Loan_Not_Paid*Values_Entered,Payment_Date,""), "")</f>
        <v/>
      </c>
      <c r="C290" s="23" t="str">
        <f ca="1">IFERROR(IF(Loan_Not_Paid*Values_Entered,Beginning_Balance,""), "")</f>
        <v/>
      </c>
      <c r="D290" s="23" t="str">
        <f ca="1">IFERROR(IF(Loan_Not_Paid*Values_Entered,Monthly_Payment,""), "")</f>
        <v/>
      </c>
      <c r="E290" s="23" t="str">
        <f ca="1">IFERROR(IF(Loan_Not_Paid*Values_Entered,Principal,""), "")</f>
        <v/>
      </c>
      <c r="F290" s="23" t="str">
        <f ca="1">IFERROR(IF(Loan_Not_Paid*Values_Entered,Interest,""), "")</f>
        <v/>
      </c>
      <c r="G290" s="23" t="str">
        <f ca="1">IFERROR(IF(Loan_Not_Paid*Values_Entered,Ending_Balance,""), "")</f>
        <v/>
      </c>
    </row>
    <row r="291" spans="1:7">
      <c r="A291" s="21" t="str">
        <f ca="1">IFERROR(IF(Loan_Not_Paid*Values_Entered,Payment_Number,""), "")</f>
        <v/>
      </c>
      <c r="B291" s="22" t="str">
        <f ca="1">IFERROR(IF(Loan_Not_Paid*Values_Entered,Payment_Date,""), "")</f>
        <v/>
      </c>
      <c r="C291" s="23" t="str">
        <f ca="1">IFERROR(IF(Loan_Not_Paid*Values_Entered,Beginning_Balance,""), "")</f>
        <v/>
      </c>
      <c r="D291" s="23" t="str">
        <f ca="1">IFERROR(IF(Loan_Not_Paid*Values_Entered,Monthly_Payment,""), "")</f>
        <v/>
      </c>
      <c r="E291" s="23" t="str">
        <f ca="1">IFERROR(IF(Loan_Not_Paid*Values_Entered,Principal,""), "")</f>
        <v/>
      </c>
      <c r="F291" s="23" t="str">
        <f ca="1">IFERROR(IF(Loan_Not_Paid*Values_Entered,Interest,""), "")</f>
        <v/>
      </c>
      <c r="G291" s="23" t="str">
        <f ca="1">IFERROR(IF(Loan_Not_Paid*Values_Entered,Ending_Balance,""), "")</f>
        <v/>
      </c>
    </row>
    <row r="292" spans="1:7">
      <c r="A292" s="21" t="str">
        <f ca="1">IFERROR(IF(Loan_Not_Paid*Values_Entered,Payment_Number,""), "")</f>
        <v/>
      </c>
      <c r="B292" s="22" t="str">
        <f ca="1">IFERROR(IF(Loan_Not_Paid*Values_Entered,Payment_Date,""), "")</f>
        <v/>
      </c>
      <c r="C292" s="23" t="str">
        <f ca="1">IFERROR(IF(Loan_Not_Paid*Values_Entered,Beginning_Balance,""), "")</f>
        <v/>
      </c>
      <c r="D292" s="23" t="str">
        <f ca="1">IFERROR(IF(Loan_Not_Paid*Values_Entered,Monthly_Payment,""), "")</f>
        <v/>
      </c>
      <c r="E292" s="23" t="str">
        <f ca="1">IFERROR(IF(Loan_Not_Paid*Values_Entered,Principal,""), "")</f>
        <v/>
      </c>
      <c r="F292" s="23" t="str">
        <f ca="1">IFERROR(IF(Loan_Not_Paid*Values_Entered,Interest,""), "")</f>
        <v/>
      </c>
      <c r="G292" s="23" t="str">
        <f ca="1">IFERROR(IF(Loan_Not_Paid*Values_Entered,Ending_Balance,""), "")</f>
        <v/>
      </c>
    </row>
    <row r="293" spans="1:7">
      <c r="A293" s="21" t="str">
        <f ca="1">IFERROR(IF(Loan_Not_Paid*Values_Entered,Payment_Number,""), "")</f>
        <v/>
      </c>
      <c r="B293" s="22" t="str">
        <f ca="1">IFERROR(IF(Loan_Not_Paid*Values_Entered,Payment_Date,""), "")</f>
        <v/>
      </c>
      <c r="C293" s="23" t="str">
        <f ca="1">IFERROR(IF(Loan_Not_Paid*Values_Entered,Beginning_Balance,""), "")</f>
        <v/>
      </c>
      <c r="D293" s="23" t="str">
        <f ca="1">IFERROR(IF(Loan_Not_Paid*Values_Entered,Monthly_Payment,""), "")</f>
        <v/>
      </c>
      <c r="E293" s="23" t="str">
        <f ca="1">IFERROR(IF(Loan_Not_Paid*Values_Entered,Principal,""), "")</f>
        <v/>
      </c>
      <c r="F293" s="23" t="str">
        <f ca="1">IFERROR(IF(Loan_Not_Paid*Values_Entered,Interest,""), "")</f>
        <v/>
      </c>
      <c r="G293" s="23" t="str">
        <f ca="1">IFERROR(IF(Loan_Not_Paid*Values_Entered,Ending_Balance,""), "")</f>
        <v/>
      </c>
    </row>
    <row r="294" spans="1:7">
      <c r="A294" s="21" t="str">
        <f ca="1">IFERROR(IF(Loan_Not_Paid*Values_Entered,Payment_Number,""), "")</f>
        <v/>
      </c>
      <c r="B294" s="22" t="str">
        <f ca="1">IFERROR(IF(Loan_Not_Paid*Values_Entered,Payment_Date,""), "")</f>
        <v/>
      </c>
      <c r="C294" s="23" t="str">
        <f ca="1">IFERROR(IF(Loan_Not_Paid*Values_Entered,Beginning_Balance,""), "")</f>
        <v/>
      </c>
      <c r="D294" s="23" t="str">
        <f ca="1">IFERROR(IF(Loan_Not_Paid*Values_Entered,Monthly_Payment,""), "")</f>
        <v/>
      </c>
      <c r="E294" s="23" t="str">
        <f ca="1">IFERROR(IF(Loan_Not_Paid*Values_Entered,Principal,""), "")</f>
        <v/>
      </c>
      <c r="F294" s="23" t="str">
        <f ca="1">IFERROR(IF(Loan_Not_Paid*Values_Entered,Interest,""), "")</f>
        <v/>
      </c>
      <c r="G294" s="23" t="str">
        <f ca="1">IFERROR(IF(Loan_Not_Paid*Values_Entered,Ending_Balance,""), "")</f>
        <v/>
      </c>
    </row>
    <row r="295" spans="1:7">
      <c r="A295" s="21" t="str">
        <f ca="1">IFERROR(IF(Loan_Not_Paid*Values_Entered,Payment_Number,""), "")</f>
        <v/>
      </c>
      <c r="B295" s="22" t="str">
        <f ca="1">IFERROR(IF(Loan_Not_Paid*Values_Entered,Payment_Date,""), "")</f>
        <v/>
      </c>
      <c r="C295" s="23" t="str">
        <f ca="1">IFERROR(IF(Loan_Not_Paid*Values_Entered,Beginning_Balance,""), "")</f>
        <v/>
      </c>
      <c r="D295" s="23" t="str">
        <f ca="1">IFERROR(IF(Loan_Not_Paid*Values_Entered,Monthly_Payment,""), "")</f>
        <v/>
      </c>
      <c r="E295" s="23" t="str">
        <f ca="1">IFERROR(IF(Loan_Not_Paid*Values_Entered,Principal,""), "")</f>
        <v/>
      </c>
      <c r="F295" s="23" t="str">
        <f ca="1">IFERROR(IF(Loan_Not_Paid*Values_Entered,Interest,""), "")</f>
        <v/>
      </c>
      <c r="G295" s="23" t="str">
        <f ca="1">IFERROR(IF(Loan_Not_Paid*Values_Entered,Ending_Balance,""), "")</f>
        <v/>
      </c>
    </row>
    <row r="296" spans="1:7">
      <c r="A296" s="21" t="str">
        <f ca="1">IFERROR(IF(Loan_Not_Paid*Values_Entered,Payment_Number,""), "")</f>
        <v/>
      </c>
      <c r="B296" s="22" t="str">
        <f ca="1">IFERROR(IF(Loan_Not_Paid*Values_Entered,Payment_Date,""), "")</f>
        <v/>
      </c>
      <c r="C296" s="23" t="str">
        <f ca="1">IFERROR(IF(Loan_Not_Paid*Values_Entered,Beginning_Balance,""), "")</f>
        <v/>
      </c>
      <c r="D296" s="23" t="str">
        <f ca="1">IFERROR(IF(Loan_Not_Paid*Values_Entered,Monthly_Payment,""), "")</f>
        <v/>
      </c>
      <c r="E296" s="23" t="str">
        <f ca="1">IFERROR(IF(Loan_Not_Paid*Values_Entered,Principal,""), "")</f>
        <v/>
      </c>
      <c r="F296" s="23" t="str">
        <f ca="1">IFERROR(IF(Loan_Not_Paid*Values_Entered,Interest,""), "")</f>
        <v/>
      </c>
      <c r="G296" s="23" t="str">
        <f ca="1">IFERROR(IF(Loan_Not_Paid*Values_Entered,Ending_Balance,""), "")</f>
        <v/>
      </c>
    </row>
    <row r="297" spans="1:7">
      <c r="A297" s="21" t="str">
        <f ca="1">IFERROR(IF(Loan_Not_Paid*Values_Entered,Payment_Number,""), "")</f>
        <v/>
      </c>
      <c r="B297" s="22" t="str">
        <f ca="1">IFERROR(IF(Loan_Not_Paid*Values_Entered,Payment_Date,""), "")</f>
        <v/>
      </c>
      <c r="C297" s="23" t="str">
        <f ca="1">IFERROR(IF(Loan_Not_Paid*Values_Entered,Beginning_Balance,""), "")</f>
        <v/>
      </c>
      <c r="D297" s="23" t="str">
        <f ca="1">IFERROR(IF(Loan_Not_Paid*Values_Entered,Monthly_Payment,""), "")</f>
        <v/>
      </c>
      <c r="E297" s="23" t="str">
        <f ca="1">IFERROR(IF(Loan_Not_Paid*Values_Entered,Principal,""), "")</f>
        <v/>
      </c>
      <c r="F297" s="23" t="str">
        <f ca="1">IFERROR(IF(Loan_Not_Paid*Values_Entered,Interest,""), "")</f>
        <v/>
      </c>
      <c r="G297" s="23" t="str">
        <f ca="1">IFERROR(IF(Loan_Not_Paid*Values_Entered,Ending_Balance,""), "")</f>
        <v/>
      </c>
    </row>
    <row r="298" spans="1:7">
      <c r="A298" s="21" t="str">
        <f ca="1">IFERROR(IF(Loan_Not_Paid*Values_Entered,Payment_Number,""), "")</f>
        <v/>
      </c>
      <c r="B298" s="22" t="str">
        <f ca="1">IFERROR(IF(Loan_Not_Paid*Values_Entered,Payment_Date,""), "")</f>
        <v/>
      </c>
      <c r="C298" s="23" t="str">
        <f ca="1">IFERROR(IF(Loan_Not_Paid*Values_Entered,Beginning_Balance,""), "")</f>
        <v/>
      </c>
      <c r="D298" s="23" t="str">
        <f ca="1">IFERROR(IF(Loan_Not_Paid*Values_Entered,Monthly_Payment,""), "")</f>
        <v/>
      </c>
      <c r="E298" s="23" t="str">
        <f ca="1">IFERROR(IF(Loan_Not_Paid*Values_Entered,Principal,""), "")</f>
        <v/>
      </c>
      <c r="F298" s="23" t="str">
        <f ca="1">IFERROR(IF(Loan_Not_Paid*Values_Entered,Interest,""), "")</f>
        <v/>
      </c>
      <c r="G298" s="23" t="str">
        <f ca="1">IFERROR(IF(Loan_Not_Paid*Values_Entered,Ending_Balance,""), "")</f>
        <v/>
      </c>
    </row>
    <row r="299" spans="1:7">
      <c r="A299" s="21" t="str">
        <f ca="1">IFERROR(IF(Loan_Not_Paid*Values_Entered,Payment_Number,""), "")</f>
        <v/>
      </c>
      <c r="B299" s="22" t="str">
        <f ca="1">IFERROR(IF(Loan_Not_Paid*Values_Entered,Payment_Date,""), "")</f>
        <v/>
      </c>
      <c r="C299" s="23" t="str">
        <f ca="1">IFERROR(IF(Loan_Not_Paid*Values_Entered,Beginning_Balance,""), "")</f>
        <v/>
      </c>
      <c r="D299" s="23" t="str">
        <f ca="1">IFERROR(IF(Loan_Not_Paid*Values_Entered,Monthly_Payment,""), "")</f>
        <v/>
      </c>
      <c r="E299" s="23" t="str">
        <f ca="1">IFERROR(IF(Loan_Not_Paid*Values_Entered,Principal,""), "")</f>
        <v/>
      </c>
      <c r="F299" s="23" t="str">
        <f ca="1">IFERROR(IF(Loan_Not_Paid*Values_Entered,Interest,""), "")</f>
        <v/>
      </c>
      <c r="G299" s="23" t="str">
        <f ca="1">IFERROR(IF(Loan_Not_Paid*Values_Entered,Ending_Balance,""), "")</f>
        <v/>
      </c>
    </row>
    <row r="300" spans="1:7">
      <c r="A300" s="21" t="str">
        <f ca="1">IFERROR(IF(Loan_Not_Paid*Values_Entered,Payment_Number,""), "")</f>
        <v/>
      </c>
      <c r="B300" s="22" t="str">
        <f ca="1">IFERROR(IF(Loan_Not_Paid*Values_Entered,Payment_Date,""), "")</f>
        <v/>
      </c>
      <c r="C300" s="23" t="str">
        <f ca="1">IFERROR(IF(Loan_Not_Paid*Values_Entered,Beginning_Balance,""), "")</f>
        <v/>
      </c>
      <c r="D300" s="23" t="str">
        <f ca="1">IFERROR(IF(Loan_Not_Paid*Values_Entered,Monthly_Payment,""), "")</f>
        <v/>
      </c>
      <c r="E300" s="23" t="str">
        <f ca="1">IFERROR(IF(Loan_Not_Paid*Values_Entered,Principal,""), "")</f>
        <v/>
      </c>
      <c r="F300" s="23" t="str">
        <f ca="1">IFERROR(IF(Loan_Not_Paid*Values_Entered,Interest,""), "")</f>
        <v/>
      </c>
      <c r="G300" s="23" t="str">
        <f ca="1">IFERROR(IF(Loan_Not_Paid*Values_Entered,Ending_Balance,""), "")</f>
        <v/>
      </c>
    </row>
    <row r="301" spans="1:7">
      <c r="A301" s="21" t="str">
        <f ca="1">IFERROR(IF(Loan_Not_Paid*Values_Entered,Payment_Number,""), "")</f>
        <v/>
      </c>
      <c r="B301" s="22" t="str">
        <f ca="1">IFERROR(IF(Loan_Not_Paid*Values_Entered,Payment_Date,""), "")</f>
        <v/>
      </c>
      <c r="C301" s="23" t="str">
        <f ca="1">IFERROR(IF(Loan_Not_Paid*Values_Entered,Beginning_Balance,""), "")</f>
        <v/>
      </c>
      <c r="D301" s="23" t="str">
        <f ca="1">IFERROR(IF(Loan_Not_Paid*Values_Entered,Monthly_Payment,""), "")</f>
        <v/>
      </c>
      <c r="E301" s="23" t="str">
        <f ca="1">IFERROR(IF(Loan_Not_Paid*Values_Entered,Principal,""), "")</f>
        <v/>
      </c>
      <c r="F301" s="23" t="str">
        <f ca="1">IFERROR(IF(Loan_Not_Paid*Values_Entered,Interest,""), "")</f>
        <v/>
      </c>
      <c r="G301" s="23" t="str">
        <f ca="1">IFERROR(IF(Loan_Not_Paid*Values_Entered,Ending_Balance,""), "")</f>
        <v/>
      </c>
    </row>
    <row r="302" spans="1:7">
      <c r="A302" s="21" t="str">
        <f ca="1">IFERROR(IF(Loan_Not_Paid*Values_Entered,Payment_Number,""), "")</f>
        <v/>
      </c>
      <c r="B302" s="22" t="str">
        <f ca="1">IFERROR(IF(Loan_Not_Paid*Values_Entered,Payment_Date,""), "")</f>
        <v/>
      </c>
      <c r="C302" s="23" t="str">
        <f ca="1">IFERROR(IF(Loan_Not_Paid*Values_Entered,Beginning_Balance,""), "")</f>
        <v/>
      </c>
      <c r="D302" s="23" t="str">
        <f ca="1">IFERROR(IF(Loan_Not_Paid*Values_Entered,Monthly_Payment,""), "")</f>
        <v/>
      </c>
      <c r="E302" s="23" t="str">
        <f ca="1">IFERROR(IF(Loan_Not_Paid*Values_Entered,Principal,""), "")</f>
        <v/>
      </c>
      <c r="F302" s="23" t="str">
        <f ca="1">IFERROR(IF(Loan_Not_Paid*Values_Entered,Interest,""), "")</f>
        <v/>
      </c>
      <c r="G302" s="23" t="str">
        <f ca="1">IFERROR(IF(Loan_Not_Paid*Values_Entered,Ending_Balance,""), "")</f>
        <v/>
      </c>
    </row>
    <row r="303" spans="1:7">
      <c r="A303" s="21" t="str">
        <f ca="1">IFERROR(IF(Loan_Not_Paid*Values_Entered,Payment_Number,""), "")</f>
        <v/>
      </c>
      <c r="B303" s="22" t="str">
        <f ca="1">IFERROR(IF(Loan_Not_Paid*Values_Entered,Payment_Date,""), "")</f>
        <v/>
      </c>
      <c r="C303" s="23" t="str">
        <f ca="1">IFERROR(IF(Loan_Not_Paid*Values_Entered,Beginning_Balance,""), "")</f>
        <v/>
      </c>
      <c r="D303" s="23" t="str">
        <f ca="1">IFERROR(IF(Loan_Not_Paid*Values_Entered,Monthly_Payment,""), "")</f>
        <v/>
      </c>
      <c r="E303" s="23" t="str">
        <f ca="1">IFERROR(IF(Loan_Not_Paid*Values_Entered,Principal,""), "")</f>
        <v/>
      </c>
      <c r="F303" s="23" t="str">
        <f ca="1">IFERROR(IF(Loan_Not_Paid*Values_Entered,Interest,""), "")</f>
        <v/>
      </c>
      <c r="G303" s="23" t="str">
        <f ca="1">IFERROR(IF(Loan_Not_Paid*Values_Entered,Ending_Balance,""), "")</f>
        <v/>
      </c>
    </row>
    <row r="304" spans="1:7">
      <c r="A304" s="21" t="str">
        <f ca="1">IFERROR(IF(Loan_Not_Paid*Values_Entered,Payment_Number,""), "")</f>
        <v/>
      </c>
      <c r="B304" s="22" t="str">
        <f ca="1">IFERROR(IF(Loan_Not_Paid*Values_Entered,Payment_Date,""), "")</f>
        <v/>
      </c>
      <c r="C304" s="23" t="str">
        <f ca="1">IFERROR(IF(Loan_Not_Paid*Values_Entered,Beginning_Balance,""), "")</f>
        <v/>
      </c>
      <c r="D304" s="23" t="str">
        <f ca="1">IFERROR(IF(Loan_Not_Paid*Values_Entered,Monthly_Payment,""), "")</f>
        <v/>
      </c>
      <c r="E304" s="23" t="str">
        <f ca="1">IFERROR(IF(Loan_Not_Paid*Values_Entered,Principal,""), "")</f>
        <v/>
      </c>
      <c r="F304" s="23" t="str">
        <f ca="1">IFERROR(IF(Loan_Not_Paid*Values_Entered,Interest,""), "")</f>
        <v/>
      </c>
      <c r="G304" s="23" t="str">
        <f ca="1">IFERROR(IF(Loan_Not_Paid*Values_Entered,Ending_Balance,""), "")</f>
        <v/>
      </c>
    </row>
    <row r="305" spans="1:7">
      <c r="A305" s="21" t="str">
        <f ca="1">IFERROR(IF(Loan_Not_Paid*Values_Entered,Payment_Number,""), "")</f>
        <v/>
      </c>
      <c r="B305" s="22" t="str">
        <f ca="1">IFERROR(IF(Loan_Not_Paid*Values_Entered,Payment_Date,""), "")</f>
        <v/>
      </c>
      <c r="C305" s="23" t="str">
        <f ca="1">IFERROR(IF(Loan_Not_Paid*Values_Entered,Beginning_Balance,""), "")</f>
        <v/>
      </c>
      <c r="D305" s="23" t="str">
        <f ca="1">IFERROR(IF(Loan_Not_Paid*Values_Entered,Monthly_Payment,""), "")</f>
        <v/>
      </c>
      <c r="E305" s="23" t="str">
        <f ca="1">IFERROR(IF(Loan_Not_Paid*Values_Entered,Principal,""), "")</f>
        <v/>
      </c>
      <c r="F305" s="23" t="str">
        <f ca="1">IFERROR(IF(Loan_Not_Paid*Values_Entered,Interest,""), "")</f>
        <v/>
      </c>
      <c r="G305" s="23" t="str">
        <f ca="1">IFERROR(IF(Loan_Not_Paid*Values_Entered,Ending_Balance,""), "")</f>
        <v/>
      </c>
    </row>
    <row r="306" spans="1:7">
      <c r="A306" s="21" t="str">
        <f ca="1">IFERROR(IF(Loan_Not_Paid*Values_Entered,Payment_Number,""), "")</f>
        <v/>
      </c>
      <c r="B306" s="22" t="str">
        <f ca="1">IFERROR(IF(Loan_Not_Paid*Values_Entered,Payment_Date,""), "")</f>
        <v/>
      </c>
      <c r="C306" s="23" t="str">
        <f ca="1">IFERROR(IF(Loan_Not_Paid*Values_Entered,Beginning_Balance,""), "")</f>
        <v/>
      </c>
      <c r="D306" s="23" t="str">
        <f ca="1">IFERROR(IF(Loan_Not_Paid*Values_Entered,Monthly_Payment,""), "")</f>
        <v/>
      </c>
      <c r="E306" s="23" t="str">
        <f ca="1">IFERROR(IF(Loan_Not_Paid*Values_Entered,Principal,""), "")</f>
        <v/>
      </c>
      <c r="F306" s="23" t="str">
        <f ca="1">IFERROR(IF(Loan_Not_Paid*Values_Entered,Interest,""), "")</f>
        <v/>
      </c>
      <c r="G306" s="23" t="str">
        <f ca="1">IFERROR(IF(Loan_Not_Paid*Values_Entered,Ending_Balance,""), "")</f>
        <v/>
      </c>
    </row>
    <row r="307" spans="1:7">
      <c r="A307" s="21" t="str">
        <f ca="1">IFERROR(IF(Loan_Not_Paid*Values_Entered,Payment_Number,""), "")</f>
        <v/>
      </c>
      <c r="B307" s="22" t="str">
        <f ca="1">IFERROR(IF(Loan_Not_Paid*Values_Entered,Payment_Date,""), "")</f>
        <v/>
      </c>
      <c r="C307" s="23" t="str">
        <f ca="1">IFERROR(IF(Loan_Not_Paid*Values_Entered,Beginning_Balance,""), "")</f>
        <v/>
      </c>
      <c r="D307" s="23" t="str">
        <f ca="1">IFERROR(IF(Loan_Not_Paid*Values_Entered,Monthly_Payment,""), "")</f>
        <v/>
      </c>
      <c r="E307" s="23" t="str">
        <f ca="1">IFERROR(IF(Loan_Not_Paid*Values_Entered,Principal,""), "")</f>
        <v/>
      </c>
      <c r="F307" s="23" t="str">
        <f ca="1">IFERROR(IF(Loan_Not_Paid*Values_Entered,Interest,""), "")</f>
        <v/>
      </c>
      <c r="G307" s="23" t="str">
        <f ca="1">IFERROR(IF(Loan_Not_Paid*Values_Entered,Ending_Balance,""), "")</f>
        <v/>
      </c>
    </row>
    <row r="308" spans="1:7">
      <c r="A308" s="21" t="str">
        <f ca="1">IFERROR(IF(Loan_Not_Paid*Values_Entered,Payment_Number,""), "")</f>
        <v/>
      </c>
      <c r="B308" s="22" t="str">
        <f ca="1">IFERROR(IF(Loan_Not_Paid*Values_Entered,Payment_Date,""), "")</f>
        <v/>
      </c>
      <c r="C308" s="23" t="str">
        <f ca="1">IFERROR(IF(Loan_Not_Paid*Values_Entered,Beginning_Balance,""), "")</f>
        <v/>
      </c>
      <c r="D308" s="23" t="str">
        <f ca="1">IFERROR(IF(Loan_Not_Paid*Values_Entered,Monthly_Payment,""), "")</f>
        <v/>
      </c>
      <c r="E308" s="23" t="str">
        <f ca="1">IFERROR(IF(Loan_Not_Paid*Values_Entered,Principal,""), "")</f>
        <v/>
      </c>
      <c r="F308" s="23" t="str">
        <f ca="1">IFERROR(IF(Loan_Not_Paid*Values_Entered,Interest,""), "")</f>
        <v/>
      </c>
      <c r="G308" s="23" t="str">
        <f ca="1">IFERROR(IF(Loan_Not_Paid*Values_Entered,Ending_Balance,""), "")</f>
        <v/>
      </c>
    </row>
    <row r="309" spans="1:7">
      <c r="A309" s="21" t="str">
        <f ca="1">IFERROR(IF(Loan_Not_Paid*Values_Entered,Payment_Number,""), "")</f>
        <v/>
      </c>
      <c r="B309" s="22" t="str">
        <f ca="1">IFERROR(IF(Loan_Not_Paid*Values_Entered,Payment_Date,""), "")</f>
        <v/>
      </c>
      <c r="C309" s="23" t="str">
        <f ca="1">IFERROR(IF(Loan_Not_Paid*Values_Entered,Beginning_Balance,""), "")</f>
        <v/>
      </c>
      <c r="D309" s="23" t="str">
        <f ca="1">IFERROR(IF(Loan_Not_Paid*Values_Entered,Monthly_Payment,""), "")</f>
        <v/>
      </c>
      <c r="E309" s="23" t="str">
        <f ca="1">IFERROR(IF(Loan_Not_Paid*Values_Entered,Principal,""), "")</f>
        <v/>
      </c>
      <c r="F309" s="23" t="str">
        <f ca="1">IFERROR(IF(Loan_Not_Paid*Values_Entered,Interest,""), "")</f>
        <v/>
      </c>
      <c r="G309" s="23" t="str">
        <f ca="1">IFERROR(IF(Loan_Not_Paid*Values_Entered,Ending_Balance,""), "")</f>
        <v/>
      </c>
    </row>
    <row r="310" spans="1:7">
      <c r="A310" s="21" t="str">
        <f ca="1">IFERROR(IF(Loan_Not_Paid*Values_Entered,Payment_Number,""), "")</f>
        <v/>
      </c>
      <c r="B310" s="22" t="str">
        <f ca="1">IFERROR(IF(Loan_Not_Paid*Values_Entered,Payment_Date,""), "")</f>
        <v/>
      </c>
      <c r="C310" s="23" t="str">
        <f ca="1">IFERROR(IF(Loan_Not_Paid*Values_Entered,Beginning_Balance,""), "")</f>
        <v/>
      </c>
      <c r="D310" s="23" t="str">
        <f ca="1">IFERROR(IF(Loan_Not_Paid*Values_Entered,Monthly_Payment,""), "")</f>
        <v/>
      </c>
      <c r="E310" s="23" t="str">
        <f ca="1">IFERROR(IF(Loan_Not_Paid*Values_Entered,Principal,""), "")</f>
        <v/>
      </c>
      <c r="F310" s="23" t="str">
        <f ca="1">IFERROR(IF(Loan_Not_Paid*Values_Entered,Interest,""), "")</f>
        <v/>
      </c>
      <c r="G310" s="23" t="str">
        <f ca="1">IFERROR(IF(Loan_Not_Paid*Values_Entered,Ending_Balance,""), "")</f>
        <v/>
      </c>
    </row>
    <row r="311" spans="1:7">
      <c r="A311" s="21" t="str">
        <f ca="1">IFERROR(IF(Loan_Not_Paid*Values_Entered,Payment_Number,""), "")</f>
        <v/>
      </c>
      <c r="B311" s="22" t="str">
        <f ca="1">IFERROR(IF(Loan_Not_Paid*Values_Entered,Payment_Date,""), "")</f>
        <v/>
      </c>
      <c r="C311" s="23" t="str">
        <f ca="1">IFERROR(IF(Loan_Not_Paid*Values_Entered,Beginning_Balance,""), "")</f>
        <v/>
      </c>
      <c r="D311" s="23" t="str">
        <f ca="1">IFERROR(IF(Loan_Not_Paid*Values_Entered,Monthly_Payment,""), "")</f>
        <v/>
      </c>
      <c r="E311" s="23" t="str">
        <f ca="1">IFERROR(IF(Loan_Not_Paid*Values_Entered,Principal,""), "")</f>
        <v/>
      </c>
      <c r="F311" s="23" t="str">
        <f ca="1">IFERROR(IF(Loan_Not_Paid*Values_Entered,Interest,""), "")</f>
        <v/>
      </c>
      <c r="G311" s="23" t="str">
        <f ca="1">IFERROR(IF(Loan_Not_Paid*Values_Entered,Ending_Balance,""), "")</f>
        <v/>
      </c>
    </row>
    <row r="312" spans="1:7">
      <c r="A312" s="21" t="str">
        <f ca="1">IFERROR(IF(Loan_Not_Paid*Values_Entered,Payment_Number,""), "")</f>
        <v/>
      </c>
      <c r="B312" s="22" t="str">
        <f ca="1">IFERROR(IF(Loan_Not_Paid*Values_Entered,Payment_Date,""), "")</f>
        <v/>
      </c>
      <c r="C312" s="23" t="str">
        <f ca="1">IFERROR(IF(Loan_Not_Paid*Values_Entered,Beginning_Balance,""), "")</f>
        <v/>
      </c>
      <c r="D312" s="23" t="str">
        <f ca="1">IFERROR(IF(Loan_Not_Paid*Values_Entered,Monthly_Payment,""), "")</f>
        <v/>
      </c>
      <c r="E312" s="23" t="str">
        <f ca="1">IFERROR(IF(Loan_Not_Paid*Values_Entered,Principal,""), "")</f>
        <v/>
      </c>
      <c r="F312" s="23" t="str">
        <f ca="1">IFERROR(IF(Loan_Not_Paid*Values_Entered,Interest,""), "")</f>
        <v/>
      </c>
      <c r="G312" s="23" t="str">
        <f ca="1">IFERROR(IF(Loan_Not_Paid*Values_Entered,Ending_Balance,""), "")</f>
        <v/>
      </c>
    </row>
    <row r="313" spans="1:7">
      <c r="A313" s="21" t="str">
        <f ca="1">IFERROR(IF(Loan_Not_Paid*Values_Entered,Payment_Number,""), "")</f>
        <v/>
      </c>
      <c r="B313" s="22" t="str">
        <f ca="1">IFERROR(IF(Loan_Not_Paid*Values_Entered,Payment_Date,""), "")</f>
        <v/>
      </c>
      <c r="C313" s="23" t="str">
        <f ca="1">IFERROR(IF(Loan_Not_Paid*Values_Entered,Beginning_Balance,""), "")</f>
        <v/>
      </c>
      <c r="D313" s="23" t="str">
        <f ca="1">IFERROR(IF(Loan_Not_Paid*Values_Entered,Monthly_Payment,""), "")</f>
        <v/>
      </c>
      <c r="E313" s="23" t="str">
        <f ca="1">IFERROR(IF(Loan_Not_Paid*Values_Entered,Principal,""), "")</f>
        <v/>
      </c>
      <c r="F313" s="23" t="str">
        <f ca="1">IFERROR(IF(Loan_Not_Paid*Values_Entered,Interest,""), "")</f>
        <v/>
      </c>
      <c r="G313" s="23" t="str">
        <f ca="1">IFERROR(IF(Loan_Not_Paid*Values_Entered,Ending_Balance,""), "")</f>
        <v/>
      </c>
    </row>
    <row r="314" spans="1:7">
      <c r="A314" s="21" t="str">
        <f ca="1">IFERROR(IF(Loan_Not_Paid*Values_Entered,Payment_Number,""), "")</f>
        <v/>
      </c>
      <c r="B314" s="22" t="str">
        <f ca="1">IFERROR(IF(Loan_Not_Paid*Values_Entered,Payment_Date,""), "")</f>
        <v/>
      </c>
      <c r="C314" s="23" t="str">
        <f ca="1">IFERROR(IF(Loan_Not_Paid*Values_Entered,Beginning_Balance,""), "")</f>
        <v/>
      </c>
      <c r="D314" s="23" t="str">
        <f ca="1">IFERROR(IF(Loan_Not_Paid*Values_Entered,Monthly_Payment,""), "")</f>
        <v/>
      </c>
      <c r="E314" s="23" t="str">
        <f ca="1">IFERROR(IF(Loan_Not_Paid*Values_Entered,Principal,""), "")</f>
        <v/>
      </c>
      <c r="F314" s="23" t="str">
        <f ca="1">IFERROR(IF(Loan_Not_Paid*Values_Entered,Interest,""), "")</f>
        <v/>
      </c>
      <c r="G314" s="23" t="str">
        <f ca="1">IFERROR(IF(Loan_Not_Paid*Values_Entered,Ending_Balance,""), "")</f>
        <v/>
      </c>
    </row>
    <row r="315" spans="1:7">
      <c r="A315" s="21" t="str">
        <f ca="1">IFERROR(IF(Loan_Not_Paid*Values_Entered,Payment_Number,""), "")</f>
        <v/>
      </c>
      <c r="B315" s="22" t="str">
        <f ca="1">IFERROR(IF(Loan_Not_Paid*Values_Entered,Payment_Date,""), "")</f>
        <v/>
      </c>
      <c r="C315" s="23" t="str">
        <f ca="1">IFERROR(IF(Loan_Not_Paid*Values_Entered,Beginning_Balance,""), "")</f>
        <v/>
      </c>
      <c r="D315" s="23" t="str">
        <f ca="1">IFERROR(IF(Loan_Not_Paid*Values_Entered,Monthly_Payment,""), "")</f>
        <v/>
      </c>
      <c r="E315" s="23" t="str">
        <f ca="1">IFERROR(IF(Loan_Not_Paid*Values_Entered,Principal,""), "")</f>
        <v/>
      </c>
      <c r="F315" s="23" t="str">
        <f ca="1">IFERROR(IF(Loan_Not_Paid*Values_Entered,Interest,""), "")</f>
        <v/>
      </c>
      <c r="G315" s="23" t="str">
        <f ca="1">IFERROR(IF(Loan_Not_Paid*Values_Entered,Ending_Balance,""), "")</f>
        <v/>
      </c>
    </row>
    <row r="316" spans="1:7">
      <c r="A316" s="21" t="str">
        <f ca="1">IFERROR(IF(Loan_Not_Paid*Values_Entered,Payment_Number,""), "")</f>
        <v/>
      </c>
      <c r="B316" s="22" t="str">
        <f ca="1">IFERROR(IF(Loan_Not_Paid*Values_Entered,Payment_Date,""), "")</f>
        <v/>
      </c>
      <c r="C316" s="23" t="str">
        <f ca="1">IFERROR(IF(Loan_Not_Paid*Values_Entered,Beginning_Balance,""), "")</f>
        <v/>
      </c>
      <c r="D316" s="23" t="str">
        <f ca="1">IFERROR(IF(Loan_Not_Paid*Values_Entered,Monthly_Payment,""), "")</f>
        <v/>
      </c>
      <c r="E316" s="23" t="str">
        <f ca="1">IFERROR(IF(Loan_Not_Paid*Values_Entered,Principal,""), "")</f>
        <v/>
      </c>
      <c r="F316" s="23" t="str">
        <f ca="1">IFERROR(IF(Loan_Not_Paid*Values_Entered,Interest,""), "")</f>
        <v/>
      </c>
      <c r="G316" s="23" t="str">
        <f ca="1">IFERROR(IF(Loan_Not_Paid*Values_Entered,Ending_Balance,""), "")</f>
        <v/>
      </c>
    </row>
    <row r="317" spans="1:7">
      <c r="A317" s="21" t="str">
        <f ca="1">IFERROR(IF(Loan_Not_Paid*Values_Entered,Payment_Number,""), "")</f>
        <v/>
      </c>
      <c r="B317" s="22" t="str">
        <f ca="1">IFERROR(IF(Loan_Not_Paid*Values_Entered,Payment_Date,""), "")</f>
        <v/>
      </c>
      <c r="C317" s="23" t="str">
        <f ca="1">IFERROR(IF(Loan_Not_Paid*Values_Entered,Beginning_Balance,""), "")</f>
        <v/>
      </c>
      <c r="D317" s="23" t="str">
        <f ca="1">IFERROR(IF(Loan_Not_Paid*Values_Entered,Monthly_Payment,""), "")</f>
        <v/>
      </c>
      <c r="E317" s="23" t="str">
        <f ca="1">IFERROR(IF(Loan_Not_Paid*Values_Entered,Principal,""), "")</f>
        <v/>
      </c>
      <c r="F317" s="23" t="str">
        <f ca="1">IFERROR(IF(Loan_Not_Paid*Values_Entered,Interest,""), "")</f>
        <v/>
      </c>
      <c r="G317" s="23" t="str">
        <f ca="1">IFERROR(IF(Loan_Not_Paid*Values_Entered,Ending_Balance,""), "")</f>
        <v/>
      </c>
    </row>
    <row r="318" spans="1:7">
      <c r="A318" s="21" t="str">
        <f ca="1">IFERROR(IF(Loan_Not_Paid*Values_Entered,Payment_Number,""), "")</f>
        <v/>
      </c>
      <c r="B318" s="22" t="str">
        <f ca="1">IFERROR(IF(Loan_Not_Paid*Values_Entered,Payment_Date,""), "")</f>
        <v/>
      </c>
      <c r="C318" s="23" t="str">
        <f ca="1">IFERROR(IF(Loan_Not_Paid*Values_Entered,Beginning_Balance,""), "")</f>
        <v/>
      </c>
      <c r="D318" s="23" t="str">
        <f ca="1">IFERROR(IF(Loan_Not_Paid*Values_Entered,Monthly_Payment,""), "")</f>
        <v/>
      </c>
      <c r="E318" s="23" t="str">
        <f ca="1">IFERROR(IF(Loan_Not_Paid*Values_Entered,Principal,""), "")</f>
        <v/>
      </c>
      <c r="F318" s="23" t="str">
        <f ca="1">IFERROR(IF(Loan_Not_Paid*Values_Entered,Interest,""), "")</f>
        <v/>
      </c>
      <c r="G318" s="23" t="str">
        <f ca="1">IFERROR(IF(Loan_Not_Paid*Values_Entered,Ending_Balance,""), "")</f>
        <v/>
      </c>
    </row>
    <row r="319" spans="1:7">
      <c r="A319" s="21" t="str">
        <f ca="1">IFERROR(IF(Loan_Not_Paid*Values_Entered,Payment_Number,""), "")</f>
        <v/>
      </c>
      <c r="B319" s="22" t="str">
        <f ca="1">IFERROR(IF(Loan_Not_Paid*Values_Entered,Payment_Date,""), "")</f>
        <v/>
      </c>
      <c r="C319" s="23" t="str">
        <f ca="1">IFERROR(IF(Loan_Not_Paid*Values_Entered,Beginning_Balance,""), "")</f>
        <v/>
      </c>
      <c r="D319" s="23" t="str">
        <f ca="1">IFERROR(IF(Loan_Not_Paid*Values_Entered,Monthly_Payment,""), "")</f>
        <v/>
      </c>
      <c r="E319" s="23" t="str">
        <f ca="1">IFERROR(IF(Loan_Not_Paid*Values_Entered,Principal,""), "")</f>
        <v/>
      </c>
      <c r="F319" s="23" t="str">
        <f ca="1">IFERROR(IF(Loan_Not_Paid*Values_Entered,Interest,""), "")</f>
        <v/>
      </c>
      <c r="G319" s="23" t="str">
        <f ca="1">IFERROR(IF(Loan_Not_Paid*Values_Entered,Ending_Balance,""), "")</f>
        <v/>
      </c>
    </row>
    <row r="320" spans="1:7">
      <c r="A320" s="21" t="str">
        <f ca="1">IFERROR(IF(Loan_Not_Paid*Values_Entered,Payment_Number,""), "")</f>
        <v/>
      </c>
      <c r="B320" s="22" t="str">
        <f ca="1">IFERROR(IF(Loan_Not_Paid*Values_Entered,Payment_Date,""), "")</f>
        <v/>
      </c>
      <c r="C320" s="23" t="str">
        <f ca="1">IFERROR(IF(Loan_Not_Paid*Values_Entered,Beginning_Balance,""), "")</f>
        <v/>
      </c>
      <c r="D320" s="23" t="str">
        <f ca="1">IFERROR(IF(Loan_Not_Paid*Values_Entered,Monthly_Payment,""), "")</f>
        <v/>
      </c>
      <c r="E320" s="23" t="str">
        <f ca="1">IFERROR(IF(Loan_Not_Paid*Values_Entered,Principal,""), "")</f>
        <v/>
      </c>
      <c r="F320" s="23" t="str">
        <f ca="1">IFERROR(IF(Loan_Not_Paid*Values_Entered,Interest,""), "")</f>
        <v/>
      </c>
      <c r="G320" s="23" t="str">
        <f ca="1">IFERROR(IF(Loan_Not_Paid*Values_Entered,Ending_Balance,""), "")</f>
        <v/>
      </c>
    </row>
    <row r="321" spans="1:7">
      <c r="A321" s="21" t="str">
        <f ca="1">IFERROR(IF(Loan_Not_Paid*Values_Entered,Payment_Number,""), "")</f>
        <v/>
      </c>
      <c r="B321" s="22" t="str">
        <f ca="1">IFERROR(IF(Loan_Not_Paid*Values_Entered,Payment_Date,""), "")</f>
        <v/>
      </c>
      <c r="C321" s="23" t="str">
        <f ca="1">IFERROR(IF(Loan_Not_Paid*Values_Entered,Beginning_Balance,""), "")</f>
        <v/>
      </c>
      <c r="D321" s="23" t="str">
        <f ca="1">IFERROR(IF(Loan_Not_Paid*Values_Entered,Monthly_Payment,""), "")</f>
        <v/>
      </c>
      <c r="E321" s="23" t="str">
        <f ca="1">IFERROR(IF(Loan_Not_Paid*Values_Entered,Principal,""), "")</f>
        <v/>
      </c>
      <c r="F321" s="23" t="str">
        <f ca="1">IFERROR(IF(Loan_Not_Paid*Values_Entered,Interest,""), "")</f>
        <v/>
      </c>
      <c r="G321" s="23" t="str">
        <f ca="1">IFERROR(IF(Loan_Not_Paid*Values_Entered,Ending_Balance,""), "")</f>
        <v/>
      </c>
    </row>
    <row r="322" spans="1:7">
      <c r="A322" s="21" t="str">
        <f ca="1">IFERROR(IF(Loan_Not_Paid*Values_Entered,Payment_Number,""), "")</f>
        <v/>
      </c>
      <c r="B322" s="22" t="str">
        <f ca="1">IFERROR(IF(Loan_Not_Paid*Values_Entered,Payment_Date,""), "")</f>
        <v/>
      </c>
      <c r="C322" s="23" t="str">
        <f ca="1">IFERROR(IF(Loan_Not_Paid*Values_Entered,Beginning_Balance,""), "")</f>
        <v/>
      </c>
      <c r="D322" s="23" t="str">
        <f ca="1">IFERROR(IF(Loan_Not_Paid*Values_Entered,Monthly_Payment,""), "")</f>
        <v/>
      </c>
      <c r="E322" s="23" t="str">
        <f ca="1">IFERROR(IF(Loan_Not_Paid*Values_Entered,Principal,""), "")</f>
        <v/>
      </c>
      <c r="F322" s="23" t="str">
        <f ca="1">IFERROR(IF(Loan_Not_Paid*Values_Entered,Interest,""), "")</f>
        <v/>
      </c>
      <c r="G322" s="23" t="str">
        <f ca="1">IFERROR(IF(Loan_Not_Paid*Values_Entered,Ending_Balance,""), "")</f>
        <v/>
      </c>
    </row>
    <row r="323" spans="1:7">
      <c r="A323" s="21" t="str">
        <f ca="1">IFERROR(IF(Loan_Not_Paid*Values_Entered,Payment_Number,""), "")</f>
        <v/>
      </c>
      <c r="B323" s="22" t="str">
        <f ca="1">IFERROR(IF(Loan_Not_Paid*Values_Entered,Payment_Date,""), "")</f>
        <v/>
      </c>
      <c r="C323" s="23" t="str">
        <f ca="1">IFERROR(IF(Loan_Not_Paid*Values_Entered,Beginning_Balance,""), "")</f>
        <v/>
      </c>
      <c r="D323" s="23" t="str">
        <f ca="1">IFERROR(IF(Loan_Not_Paid*Values_Entered,Monthly_Payment,""), "")</f>
        <v/>
      </c>
      <c r="E323" s="23" t="str">
        <f ca="1">IFERROR(IF(Loan_Not_Paid*Values_Entered,Principal,""), "")</f>
        <v/>
      </c>
      <c r="F323" s="23" t="str">
        <f ca="1">IFERROR(IF(Loan_Not_Paid*Values_Entered,Interest,""), "")</f>
        <v/>
      </c>
      <c r="G323" s="23" t="str">
        <f ca="1">IFERROR(IF(Loan_Not_Paid*Values_Entered,Ending_Balance,""), "")</f>
        <v/>
      </c>
    </row>
    <row r="324" spans="1:7">
      <c r="A324" s="21" t="str">
        <f ca="1">IFERROR(IF(Loan_Not_Paid*Values_Entered,Payment_Number,""), "")</f>
        <v/>
      </c>
      <c r="B324" s="22" t="str">
        <f ca="1">IFERROR(IF(Loan_Not_Paid*Values_Entered,Payment_Date,""), "")</f>
        <v/>
      </c>
      <c r="C324" s="23" t="str">
        <f ca="1">IFERROR(IF(Loan_Not_Paid*Values_Entered,Beginning_Balance,""), "")</f>
        <v/>
      </c>
      <c r="D324" s="23" t="str">
        <f ca="1">IFERROR(IF(Loan_Not_Paid*Values_Entered,Monthly_Payment,""), "")</f>
        <v/>
      </c>
      <c r="E324" s="23" t="str">
        <f ca="1">IFERROR(IF(Loan_Not_Paid*Values_Entered,Principal,""), "")</f>
        <v/>
      </c>
      <c r="F324" s="23" t="str">
        <f ca="1">IFERROR(IF(Loan_Not_Paid*Values_Entered,Interest,""), "")</f>
        <v/>
      </c>
      <c r="G324" s="23" t="str">
        <f ca="1">IFERROR(IF(Loan_Not_Paid*Values_Entered,Ending_Balance,""), "")</f>
        <v/>
      </c>
    </row>
    <row r="325" spans="1:7">
      <c r="A325" s="21" t="str">
        <f ca="1">IFERROR(IF(Loan_Not_Paid*Values_Entered,Payment_Number,""), "")</f>
        <v/>
      </c>
      <c r="B325" s="22" t="str">
        <f ca="1">IFERROR(IF(Loan_Not_Paid*Values_Entered,Payment_Date,""), "")</f>
        <v/>
      </c>
      <c r="C325" s="23" t="str">
        <f ca="1">IFERROR(IF(Loan_Not_Paid*Values_Entered,Beginning_Balance,""), "")</f>
        <v/>
      </c>
      <c r="D325" s="23" t="str">
        <f ca="1">IFERROR(IF(Loan_Not_Paid*Values_Entered,Monthly_Payment,""), "")</f>
        <v/>
      </c>
      <c r="E325" s="23" t="str">
        <f ca="1">IFERROR(IF(Loan_Not_Paid*Values_Entered,Principal,""), "")</f>
        <v/>
      </c>
      <c r="F325" s="23" t="str">
        <f ca="1">IFERROR(IF(Loan_Not_Paid*Values_Entered,Interest,""), "")</f>
        <v/>
      </c>
      <c r="G325" s="23" t="str">
        <f ca="1">IFERROR(IF(Loan_Not_Paid*Values_Entered,Ending_Balance,""), "")</f>
        <v/>
      </c>
    </row>
    <row r="326" spans="1:7">
      <c r="A326" s="21" t="str">
        <f ca="1">IFERROR(IF(Loan_Not_Paid*Values_Entered,Payment_Number,""), "")</f>
        <v/>
      </c>
      <c r="B326" s="22" t="str">
        <f ca="1">IFERROR(IF(Loan_Not_Paid*Values_Entered,Payment_Date,""), "")</f>
        <v/>
      </c>
      <c r="C326" s="23" t="str">
        <f ca="1">IFERROR(IF(Loan_Not_Paid*Values_Entered,Beginning_Balance,""), "")</f>
        <v/>
      </c>
      <c r="D326" s="23" t="str">
        <f ca="1">IFERROR(IF(Loan_Not_Paid*Values_Entered,Monthly_Payment,""), "")</f>
        <v/>
      </c>
      <c r="E326" s="23" t="str">
        <f ca="1">IFERROR(IF(Loan_Not_Paid*Values_Entered,Principal,""), "")</f>
        <v/>
      </c>
      <c r="F326" s="23" t="str">
        <f ca="1">IFERROR(IF(Loan_Not_Paid*Values_Entered,Interest,""), "")</f>
        <v/>
      </c>
      <c r="G326" s="23" t="str">
        <f ca="1">IFERROR(IF(Loan_Not_Paid*Values_Entered,Ending_Balance,""), "")</f>
        <v/>
      </c>
    </row>
    <row r="327" spans="1:7">
      <c r="A327" s="21" t="str">
        <f ca="1">IFERROR(IF(Loan_Not_Paid*Values_Entered,Payment_Number,""), "")</f>
        <v/>
      </c>
      <c r="B327" s="22" t="str">
        <f ca="1">IFERROR(IF(Loan_Not_Paid*Values_Entered,Payment_Date,""), "")</f>
        <v/>
      </c>
      <c r="C327" s="23" t="str">
        <f ca="1">IFERROR(IF(Loan_Not_Paid*Values_Entered,Beginning_Balance,""), "")</f>
        <v/>
      </c>
      <c r="D327" s="23" t="str">
        <f ca="1">IFERROR(IF(Loan_Not_Paid*Values_Entered,Monthly_Payment,""), "")</f>
        <v/>
      </c>
      <c r="E327" s="23" t="str">
        <f ca="1">IFERROR(IF(Loan_Not_Paid*Values_Entered,Principal,""), "")</f>
        <v/>
      </c>
      <c r="F327" s="23" t="str">
        <f ca="1">IFERROR(IF(Loan_Not_Paid*Values_Entered,Interest,""), "")</f>
        <v/>
      </c>
      <c r="G327" s="23" t="str">
        <f ca="1">IFERROR(IF(Loan_Not_Paid*Values_Entered,Ending_Balance,""), "")</f>
        <v/>
      </c>
    </row>
    <row r="328" spans="1:7">
      <c r="A328" s="21" t="str">
        <f ca="1">IFERROR(IF(Loan_Not_Paid*Values_Entered,Payment_Number,""), "")</f>
        <v/>
      </c>
      <c r="B328" s="22" t="str">
        <f ca="1">IFERROR(IF(Loan_Not_Paid*Values_Entered,Payment_Date,""), "")</f>
        <v/>
      </c>
      <c r="C328" s="23" t="str">
        <f ca="1">IFERROR(IF(Loan_Not_Paid*Values_Entered,Beginning_Balance,""), "")</f>
        <v/>
      </c>
      <c r="D328" s="23" t="str">
        <f ca="1">IFERROR(IF(Loan_Not_Paid*Values_Entered,Monthly_Payment,""), "")</f>
        <v/>
      </c>
      <c r="E328" s="23" t="str">
        <f ca="1">IFERROR(IF(Loan_Not_Paid*Values_Entered,Principal,""), "")</f>
        <v/>
      </c>
      <c r="F328" s="23" t="str">
        <f ca="1">IFERROR(IF(Loan_Not_Paid*Values_Entered,Interest,""), "")</f>
        <v/>
      </c>
      <c r="G328" s="23" t="str">
        <f ca="1">IFERROR(IF(Loan_Not_Paid*Values_Entered,Ending_Balance,""), "")</f>
        <v/>
      </c>
    </row>
    <row r="329" spans="1:7">
      <c r="A329" s="21" t="str">
        <f ca="1">IFERROR(IF(Loan_Not_Paid*Values_Entered,Payment_Number,""), "")</f>
        <v/>
      </c>
      <c r="B329" s="22" t="str">
        <f ca="1">IFERROR(IF(Loan_Not_Paid*Values_Entered,Payment_Date,""), "")</f>
        <v/>
      </c>
      <c r="C329" s="23" t="str">
        <f ca="1">IFERROR(IF(Loan_Not_Paid*Values_Entered,Beginning_Balance,""), "")</f>
        <v/>
      </c>
      <c r="D329" s="23" t="str">
        <f ca="1">IFERROR(IF(Loan_Not_Paid*Values_Entered,Monthly_Payment,""), "")</f>
        <v/>
      </c>
      <c r="E329" s="23" t="str">
        <f ca="1">IFERROR(IF(Loan_Not_Paid*Values_Entered,Principal,""), "")</f>
        <v/>
      </c>
      <c r="F329" s="23" t="str">
        <f ca="1">IFERROR(IF(Loan_Not_Paid*Values_Entered,Interest,""), "")</f>
        <v/>
      </c>
      <c r="G329" s="23" t="str">
        <f ca="1">IFERROR(IF(Loan_Not_Paid*Values_Entered,Ending_Balance,""), "")</f>
        <v/>
      </c>
    </row>
    <row r="330" spans="1:7">
      <c r="A330" s="21" t="str">
        <f ca="1">IFERROR(IF(Loan_Not_Paid*Values_Entered,Payment_Number,""), "")</f>
        <v/>
      </c>
      <c r="B330" s="22" t="str">
        <f ca="1">IFERROR(IF(Loan_Not_Paid*Values_Entered,Payment_Date,""), "")</f>
        <v/>
      </c>
      <c r="C330" s="23" t="str">
        <f ca="1">IFERROR(IF(Loan_Not_Paid*Values_Entered,Beginning_Balance,""), "")</f>
        <v/>
      </c>
      <c r="D330" s="23" t="str">
        <f ca="1">IFERROR(IF(Loan_Not_Paid*Values_Entered,Monthly_Payment,""), "")</f>
        <v/>
      </c>
      <c r="E330" s="23" t="str">
        <f ca="1">IFERROR(IF(Loan_Not_Paid*Values_Entered,Principal,""), "")</f>
        <v/>
      </c>
      <c r="F330" s="23" t="str">
        <f ca="1">IFERROR(IF(Loan_Not_Paid*Values_Entered,Interest,""), "")</f>
        <v/>
      </c>
      <c r="G330" s="23" t="str">
        <f ca="1">IFERROR(IF(Loan_Not_Paid*Values_Entered,Ending_Balance,""), "")</f>
        <v/>
      </c>
    </row>
    <row r="331" spans="1:7">
      <c r="A331" s="21" t="str">
        <f ca="1">IFERROR(IF(Loan_Not_Paid*Values_Entered,Payment_Number,""), "")</f>
        <v/>
      </c>
      <c r="B331" s="22" t="str">
        <f ca="1">IFERROR(IF(Loan_Not_Paid*Values_Entered,Payment_Date,""), "")</f>
        <v/>
      </c>
      <c r="C331" s="23" t="str">
        <f ca="1">IFERROR(IF(Loan_Not_Paid*Values_Entered,Beginning_Balance,""), "")</f>
        <v/>
      </c>
      <c r="D331" s="23" t="str">
        <f ca="1">IFERROR(IF(Loan_Not_Paid*Values_Entered,Monthly_Payment,""), "")</f>
        <v/>
      </c>
      <c r="E331" s="23" t="str">
        <f ca="1">IFERROR(IF(Loan_Not_Paid*Values_Entered,Principal,""), "")</f>
        <v/>
      </c>
      <c r="F331" s="23" t="str">
        <f ca="1">IFERROR(IF(Loan_Not_Paid*Values_Entered,Interest,""), "")</f>
        <v/>
      </c>
      <c r="G331" s="23" t="str">
        <f ca="1">IFERROR(IF(Loan_Not_Paid*Values_Entered,Ending_Balance,""), "")</f>
        <v/>
      </c>
    </row>
    <row r="332" spans="1:7">
      <c r="A332" s="21" t="str">
        <f ca="1">IFERROR(IF(Loan_Not_Paid*Values_Entered,Payment_Number,""), "")</f>
        <v/>
      </c>
      <c r="B332" s="22" t="str">
        <f ca="1">IFERROR(IF(Loan_Not_Paid*Values_Entered,Payment_Date,""), "")</f>
        <v/>
      </c>
      <c r="C332" s="23" t="str">
        <f ca="1">IFERROR(IF(Loan_Not_Paid*Values_Entered,Beginning_Balance,""), "")</f>
        <v/>
      </c>
      <c r="D332" s="23" t="str">
        <f ca="1">IFERROR(IF(Loan_Not_Paid*Values_Entered,Monthly_Payment,""), "")</f>
        <v/>
      </c>
      <c r="E332" s="23" t="str">
        <f ca="1">IFERROR(IF(Loan_Not_Paid*Values_Entered,Principal,""), "")</f>
        <v/>
      </c>
      <c r="F332" s="23" t="str">
        <f ca="1">IFERROR(IF(Loan_Not_Paid*Values_Entered,Interest,""), "")</f>
        <v/>
      </c>
      <c r="G332" s="23" t="str">
        <f ca="1">IFERROR(IF(Loan_Not_Paid*Values_Entered,Ending_Balance,""), "")</f>
        <v/>
      </c>
    </row>
    <row r="333" spans="1:7">
      <c r="A333" s="21" t="str">
        <f ca="1">IFERROR(IF(Loan_Not_Paid*Values_Entered,Payment_Number,""), "")</f>
        <v/>
      </c>
      <c r="B333" s="22" t="str">
        <f ca="1">IFERROR(IF(Loan_Not_Paid*Values_Entered,Payment_Date,""), "")</f>
        <v/>
      </c>
      <c r="C333" s="23" t="str">
        <f ca="1">IFERROR(IF(Loan_Not_Paid*Values_Entered,Beginning_Balance,""), "")</f>
        <v/>
      </c>
      <c r="D333" s="23" t="str">
        <f ca="1">IFERROR(IF(Loan_Not_Paid*Values_Entered,Monthly_Payment,""), "")</f>
        <v/>
      </c>
      <c r="E333" s="23" t="str">
        <f ca="1">IFERROR(IF(Loan_Not_Paid*Values_Entered,Principal,""), "")</f>
        <v/>
      </c>
      <c r="F333" s="23" t="str">
        <f ca="1">IFERROR(IF(Loan_Not_Paid*Values_Entered,Interest,""), "")</f>
        <v/>
      </c>
      <c r="G333" s="23" t="str">
        <f ca="1">IFERROR(IF(Loan_Not_Paid*Values_Entered,Ending_Balance,""), "")</f>
        <v/>
      </c>
    </row>
    <row r="334" spans="1:7">
      <c r="A334" s="21" t="str">
        <f ca="1">IFERROR(IF(Loan_Not_Paid*Values_Entered,Payment_Number,""), "")</f>
        <v/>
      </c>
      <c r="B334" s="22" t="str">
        <f ca="1">IFERROR(IF(Loan_Not_Paid*Values_Entered,Payment_Date,""), "")</f>
        <v/>
      </c>
      <c r="C334" s="23" t="str">
        <f ca="1">IFERROR(IF(Loan_Not_Paid*Values_Entered,Beginning_Balance,""), "")</f>
        <v/>
      </c>
      <c r="D334" s="23" t="str">
        <f ca="1">IFERROR(IF(Loan_Not_Paid*Values_Entered,Monthly_Payment,""), "")</f>
        <v/>
      </c>
      <c r="E334" s="23" t="str">
        <f ca="1">IFERROR(IF(Loan_Not_Paid*Values_Entered,Principal,""), "")</f>
        <v/>
      </c>
      <c r="F334" s="23" t="str">
        <f ca="1">IFERROR(IF(Loan_Not_Paid*Values_Entered,Interest,""), "")</f>
        <v/>
      </c>
      <c r="G334" s="23" t="str">
        <f ca="1">IFERROR(IF(Loan_Not_Paid*Values_Entered,Ending_Balance,""), "")</f>
        <v/>
      </c>
    </row>
    <row r="335" spans="1:7">
      <c r="A335" s="21" t="str">
        <f ca="1">IFERROR(IF(Loan_Not_Paid*Values_Entered,Payment_Number,""), "")</f>
        <v/>
      </c>
      <c r="B335" s="22" t="str">
        <f ca="1">IFERROR(IF(Loan_Not_Paid*Values_Entered,Payment_Date,""), "")</f>
        <v/>
      </c>
      <c r="C335" s="23" t="str">
        <f ca="1">IFERROR(IF(Loan_Not_Paid*Values_Entered,Beginning_Balance,""), "")</f>
        <v/>
      </c>
      <c r="D335" s="23" t="str">
        <f ca="1">IFERROR(IF(Loan_Not_Paid*Values_Entered,Monthly_Payment,""), "")</f>
        <v/>
      </c>
      <c r="E335" s="23" t="str">
        <f ca="1">IFERROR(IF(Loan_Not_Paid*Values_Entered,Principal,""), "")</f>
        <v/>
      </c>
      <c r="F335" s="23" t="str">
        <f ca="1">IFERROR(IF(Loan_Not_Paid*Values_Entered,Interest,""), "")</f>
        <v/>
      </c>
      <c r="G335" s="23" t="str">
        <f ca="1">IFERROR(IF(Loan_Not_Paid*Values_Entered,Ending_Balance,""), "")</f>
        <v/>
      </c>
    </row>
    <row r="336" spans="1:7">
      <c r="A336" s="21" t="str">
        <f ca="1">IFERROR(IF(Loan_Not_Paid*Values_Entered,Payment_Number,""), "")</f>
        <v/>
      </c>
      <c r="B336" s="22" t="str">
        <f ca="1">IFERROR(IF(Loan_Not_Paid*Values_Entered,Payment_Date,""), "")</f>
        <v/>
      </c>
      <c r="C336" s="23" t="str">
        <f ca="1">IFERROR(IF(Loan_Not_Paid*Values_Entered,Beginning_Balance,""), "")</f>
        <v/>
      </c>
      <c r="D336" s="23" t="str">
        <f ca="1">IFERROR(IF(Loan_Not_Paid*Values_Entered,Monthly_Payment,""), "")</f>
        <v/>
      </c>
      <c r="E336" s="23" t="str">
        <f ca="1">IFERROR(IF(Loan_Not_Paid*Values_Entered,Principal,""), "")</f>
        <v/>
      </c>
      <c r="F336" s="23" t="str">
        <f ca="1">IFERROR(IF(Loan_Not_Paid*Values_Entered,Interest,""), "")</f>
        <v/>
      </c>
      <c r="G336" s="23" t="str">
        <f ca="1">IFERROR(IF(Loan_Not_Paid*Values_Entered,Ending_Balance,""), "")</f>
        <v/>
      </c>
    </row>
    <row r="337" spans="1:7">
      <c r="A337" s="21" t="str">
        <f ca="1">IFERROR(IF(Loan_Not_Paid*Values_Entered,Payment_Number,""), "")</f>
        <v/>
      </c>
      <c r="B337" s="22" t="str">
        <f ca="1">IFERROR(IF(Loan_Not_Paid*Values_Entered,Payment_Date,""), "")</f>
        <v/>
      </c>
      <c r="C337" s="23" t="str">
        <f ca="1">IFERROR(IF(Loan_Not_Paid*Values_Entered,Beginning_Balance,""), "")</f>
        <v/>
      </c>
      <c r="D337" s="23" t="str">
        <f ca="1">IFERROR(IF(Loan_Not_Paid*Values_Entered,Monthly_Payment,""), "")</f>
        <v/>
      </c>
      <c r="E337" s="23" t="str">
        <f ca="1">IFERROR(IF(Loan_Not_Paid*Values_Entered,Principal,""), "")</f>
        <v/>
      </c>
      <c r="F337" s="23" t="str">
        <f ca="1">IFERROR(IF(Loan_Not_Paid*Values_Entered,Interest,""), "")</f>
        <v/>
      </c>
      <c r="G337" s="23" t="str">
        <f ca="1">IFERROR(IF(Loan_Not_Paid*Values_Entered,Ending_Balance,""), "")</f>
        <v/>
      </c>
    </row>
    <row r="338" spans="1:7">
      <c r="A338" s="21" t="str">
        <f ca="1">IFERROR(IF(Loan_Not_Paid*Values_Entered,Payment_Number,""), "")</f>
        <v/>
      </c>
      <c r="B338" s="22" t="str">
        <f ca="1">IFERROR(IF(Loan_Not_Paid*Values_Entered,Payment_Date,""), "")</f>
        <v/>
      </c>
      <c r="C338" s="23" t="str">
        <f ca="1">IFERROR(IF(Loan_Not_Paid*Values_Entered,Beginning_Balance,""), "")</f>
        <v/>
      </c>
      <c r="D338" s="23" t="str">
        <f ca="1">IFERROR(IF(Loan_Not_Paid*Values_Entered,Monthly_Payment,""), "")</f>
        <v/>
      </c>
      <c r="E338" s="23" t="str">
        <f ca="1">IFERROR(IF(Loan_Not_Paid*Values_Entered,Principal,""), "")</f>
        <v/>
      </c>
      <c r="F338" s="23" t="str">
        <f ca="1">IFERROR(IF(Loan_Not_Paid*Values_Entered,Interest,""), "")</f>
        <v/>
      </c>
      <c r="G338" s="23" t="str">
        <f ca="1">IFERROR(IF(Loan_Not_Paid*Values_Entered,Ending_Balance,""), "")</f>
        <v/>
      </c>
    </row>
    <row r="339" spans="1:7">
      <c r="A339" s="21" t="str">
        <f ca="1">IFERROR(IF(Loan_Not_Paid*Values_Entered,Payment_Number,""), "")</f>
        <v/>
      </c>
      <c r="B339" s="22" t="str">
        <f ca="1">IFERROR(IF(Loan_Not_Paid*Values_Entered,Payment_Date,""), "")</f>
        <v/>
      </c>
      <c r="C339" s="23" t="str">
        <f ca="1">IFERROR(IF(Loan_Not_Paid*Values_Entered,Beginning_Balance,""), "")</f>
        <v/>
      </c>
      <c r="D339" s="23" t="str">
        <f ca="1">IFERROR(IF(Loan_Not_Paid*Values_Entered,Monthly_Payment,""), "")</f>
        <v/>
      </c>
      <c r="E339" s="23" t="str">
        <f ca="1">IFERROR(IF(Loan_Not_Paid*Values_Entered,Principal,""), "")</f>
        <v/>
      </c>
      <c r="F339" s="23" t="str">
        <f ca="1">IFERROR(IF(Loan_Not_Paid*Values_Entered,Interest,""), "")</f>
        <v/>
      </c>
      <c r="G339" s="23" t="str">
        <f ca="1">IFERROR(IF(Loan_Not_Paid*Values_Entered,Ending_Balance,""), "")</f>
        <v/>
      </c>
    </row>
    <row r="340" spans="1:7">
      <c r="A340" s="21" t="str">
        <f ca="1">IFERROR(IF(Loan_Not_Paid*Values_Entered,Payment_Number,""), "")</f>
        <v/>
      </c>
      <c r="B340" s="22" t="str">
        <f ca="1">IFERROR(IF(Loan_Not_Paid*Values_Entered,Payment_Date,""), "")</f>
        <v/>
      </c>
      <c r="C340" s="23" t="str">
        <f ca="1">IFERROR(IF(Loan_Not_Paid*Values_Entered,Beginning_Balance,""), "")</f>
        <v/>
      </c>
      <c r="D340" s="23" t="str">
        <f ca="1">IFERROR(IF(Loan_Not_Paid*Values_Entered,Monthly_Payment,""), "")</f>
        <v/>
      </c>
      <c r="E340" s="23" t="str">
        <f ca="1">IFERROR(IF(Loan_Not_Paid*Values_Entered,Principal,""), "")</f>
        <v/>
      </c>
      <c r="F340" s="23" t="str">
        <f ca="1">IFERROR(IF(Loan_Not_Paid*Values_Entered,Interest,""), "")</f>
        <v/>
      </c>
      <c r="G340" s="23" t="str">
        <f ca="1">IFERROR(IF(Loan_Not_Paid*Values_Entered,Ending_Balance,""), "")</f>
        <v/>
      </c>
    </row>
    <row r="341" spans="1:7">
      <c r="A341" s="21" t="str">
        <f ca="1">IFERROR(IF(Loan_Not_Paid*Values_Entered,Payment_Number,""), "")</f>
        <v/>
      </c>
      <c r="B341" s="22" t="str">
        <f ca="1">IFERROR(IF(Loan_Not_Paid*Values_Entered,Payment_Date,""), "")</f>
        <v/>
      </c>
      <c r="C341" s="23" t="str">
        <f ca="1">IFERROR(IF(Loan_Not_Paid*Values_Entered,Beginning_Balance,""), "")</f>
        <v/>
      </c>
      <c r="D341" s="23" t="str">
        <f ca="1">IFERROR(IF(Loan_Not_Paid*Values_Entered,Monthly_Payment,""), "")</f>
        <v/>
      </c>
      <c r="E341" s="23" t="str">
        <f ca="1">IFERROR(IF(Loan_Not_Paid*Values_Entered,Principal,""), "")</f>
        <v/>
      </c>
      <c r="F341" s="23" t="str">
        <f ca="1">IFERROR(IF(Loan_Not_Paid*Values_Entered,Interest,""), "")</f>
        <v/>
      </c>
      <c r="G341" s="23" t="str">
        <f ca="1">IFERROR(IF(Loan_Not_Paid*Values_Entered,Ending_Balance,""), "")</f>
        <v/>
      </c>
    </row>
    <row r="342" spans="1:7">
      <c r="A342" s="21" t="str">
        <f ca="1">IFERROR(IF(Loan_Not_Paid*Values_Entered,Payment_Number,""), "")</f>
        <v/>
      </c>
      <c r="B342" s="22" t="str">
        <f ca="1">IFERROR(IF(Loan_Not_Paid*Values_Entered,Payment_Date,""), "")</f>
        <v/>
      </c>
      <c r="C342" s="23" t="str">
        <f ca="1">IFERROR(IF(Loan_Not_Paid*Values_Entered,Beginning_Balance,""), "")</f>
        <v/>
      </c>
      <c r="D342" s="23" t="str">
        <f ca="1">IFERROR(IF(Loan_Not_Paid*Values_Entered,Monthly_Payment,""), "")</f>
        <v/>
      </c>
      <c r="E342" s="23" t="str">
        <f ca="1">IFERROR(IF(Loan_Not_Paid*Values_Entered,Principal,""), "")</f>
        <v/>
      </c>
      <c r="F342" s="23" t="str">
        <f ca="1">IFERROR(IF(Loan_Not_Paid*Values_Entered,Interest,""), "")</f>
        <v/>
      </c>
      <c r="G342" s="23" t="str">
        <f ca="1">IFERROR(IF(Loan_Not_Paid*Values_Entered,Ending_Balance,""), "")</f>
        <v/>
      </c>
    </row>
    <row r="343" spans="1:7">
      <c r="A343" s="21" t="str">
        <f ca="1">IFERROR(IF(Loan_Not_Paid*Values_Entered,Payment_Number,""), "")</f>
        <v/>
      </c>
      <c r="B343" s="22" t="str">
        <f ca="1">IFERROR(IF(Loan_Not_Paid*Values_Entered,Payment_Date,""), "")</f>
        <v/>
      </c>
      <c r="C343" s="23" t="str">
        <f ca="1">IFERROR(IF(Loan_Not_Paid*Values_Entered,Beginning_Balance,""), "")</f>
        <v/>
      </c>
      <c r="D343" s="23" t="str">
        <f ca="1">IFERROR(IF(Loan_Not_Paid*Values_Entered,Monthly_Payment,""), "")</f>
        <v/>
      </c>
      <c r="E343" s="23" t="str">
        <f ca="1">IFERROR(IF(Loan_Not_Paid*Values_Entered,Principal,""), "")</f>
        <v/>
      </c>
      <c r="F343" s="23" t="str">
        <f ca="1">IFERROR(IF(Loan_Not_Paid*Values_Entered,Interest,""), "")</f>
        <v/>
      </c>
      <c r="G343" s="23" t="str">
        <f ca="1">IFERROR(IF(Loan_Not_Paid*Values_Entered,Ending_Balance,""), "")</f>
        <v/>
      </c>
    </row>
    <row r="344" spans="1:7">
      <c r="A344" s="21" t="str">
        <f ca="1">IFERROR(IF(Loan_Not_Paid*Values_Entered,Payment_Number,""), "")</f>
        <v/>
      </c>
      <c r="B344" s="22" t="str">
        <f ca="1">IFERROR(IF(Loan_Not_Paid*Values_Entered,Payment_Date,""), "")</f>
        <v/>
      </c>
      <c r="C344" s="23" t="str">
        <f ca="1">IFERROR(IF(Loan_Not_Paid*Values_Entered,Beginning_Balance,""), "")</f>
        <v/>
      </c>
      <c r="D344" s="23" t="str">
        <f ca="1">IFERROR(IF(Loan_Not_Paid*Values_Entered,Monthly_Payment,""), "")</f>
        <v/>
      </c>
      <c r="E344" s="23" t="str">
        <f ca="1">IFERROR(IF(Loan_Not_Paid*Values_Entered,Principal,""), "")</f>
        <v/>
      </c>
      <c r="F344" s="23" t="str">
        <f ca="1">IFERROR(IF(Loan_Not_Paid*Values_Entered,Interest,""), "")</f>
        <v/>
      </c>
      <c r="G344" s="23" t="str">
        <f ca="1">IFERROR(IF(Loan_Not_Paid*Values_Entered,Ending_Balance,""), "")</f>
        <v/>
      </c>
    </row>
    <row r="345" spans="1:7">
      <c r="A345" s="21" t="str">
        <f ca="1">IFERROR(IF(Loan_Not_Paid*Values_Entered,Payment_Number,""), "")</f>
        <v/>
      </c>
      <c r="B345" s="22" t="str">
        <f ca="1">IFERROR(IF(Loan_Not_Paid*Values_Entered,Payment_Date,""), "")</f>
        <v/>
      </c>
      <c r="C345" s="23" t="str">
        <f ca="1">IFERROR(IF(Loan_Not_Paid*Values_Entered,Beginning_Balance,""), "")</f>
        <v/>
      </c>
      <c r="D345" s="23" t="str">
        <f ca="1">IFERROR(IF(Loan_Not_Paid*Values_Entered,Monthly_Payment,""), "")</f>
        <v/>
      </c>
      <c r="E345" s="23" t="str">
        <f ca="1">IFERROR(IF(Loan_Not_Paid*Values_Entered,Principal,""), "")</f>
        <v/>
      </c>
      <c r="F345" s="23" t="str">
        <f ca="1">IFERROR(IF(Loan_Not_Paid*Values_Entered,Interest,""), "")</f>
        <v/>
      </c>
      <c r="G345" s="23" t="str">
        <f ca="1">IFERROR(IF(Loan_Not_Paid*Values_Entered,Ending_Balance,""), "")</f>
        <v/>
      </c>
    </row>
    <row r="346" spans="1:7">
      <c r="A346" s="21" t="str">
        <f ca="1">IFERROR(IF(Loan_Not_Paid*Values_Entered,Payment_Number,""), "")</f>
        <v/>
      </c>
      <c r="B346" s="22" t="str">
        <f ca="1">IFERROR(IF(Loan_Not_Paid*Values_Entered,Payment_Date,""), "")</f>
        <v/>
      </c>
      <c r="C346" s="23" t="str">
        <f ca="1">IFERROR(IF(Loan_Not_Paid*Values_Entered,Beginning_Balance,""), "")</f>
        <v/>
      </c>
      <c r="D346" s="23" t="str">
        <f ca="1">IFERROR(IF(Loan_Not_Paid*Values_Entered,Monthly_Payment,""), "")</f>
        <v/>
      </c>
      <c r="E346" s="23" t="str">
        <f ca="1">IFERROR(IF(Loan_Not_Paid*Values_Entered,Principal,""), "")</f>
        <v/>
      </c>
      <c r="F346" s="23" t="str">
        <f ca="1">IFERROR(IF(Loan_Not_Paid*Values_Entered,Interest,""), "")</f>
        <v/>
      </c>
      <c r="G346" s="23" t="str">
        <f ca="1">IFERROR(IF(Loan_Not_Paid*Values_Entered,Ending_Balance,""), "")</f>
        <v/>
      </c>
    </row>
    <row r="347" spans="1:7">
      <c r="A347" s="21" t="str">
        <f ca="1">IFERROR(IF(Loan_Not_Paid*Values_Entered,Payment_Number,""), "")</f>
        <v/>
      </c>
      <c r="B347" s="22" t="str">
        <f ca="1">IFERROR(IF(Loan_Not_Paid*Values_Entered,Payment_Date,""), "")</f>
        <v/>
      </c>
      <c r="C347" s="23" t="str">
        <f ca="1">IFERROR(IF(Loan_Not_Paid*Values_Entered,Beginning_Balance,""), "")</f>
        <v/>
      </c>
      <c r="D347" s="23" t="str">
        <f ca="1">IFERROR(IF(Loan_Not_Paid*Values_Entered,Monthly_Payment,""), "")</f>
        <v/>
      </c>
      <c r="E347" s="23" t="str">
        <f ca="1">IFERROR(IF(Loan_Not_Paid*Values_Entered,Principal,""), "")</f>
        <v/>
      </c>
      <c r="F347" s="23" t="str">
        <f ca="1">IFERROR(IF(Loan_Not_Paid*Values_Entered,Interest,""), "")</f>
        <v/>
      </c>
      <c r="G347" s="23" t="str">
        <f ca="1">IFERROR(IF(Loan_Not_Paid*Values_Entered,Ending_Balance,""), "")</f>
        <v/>
      </c>
    </row>
    <row r="348" spans="1:7">
      <c r="A348" s="21" t="str">
        <f ca="1">IFERROR(IF(Loan_Not_Paid*Values_Entered,Payment_Number,""), "")</f>
        <v/>
      </c>
      <c r="B348" s="22" t="str">
        <f ca="1">IFERROR(IF(Loan_Not_Paid*Values_Entered,Payment_Date,""), "")</f>
        <v/>
      </c>
      <c r="C348" s="23" t="str">
        <f ca="1">IFERROR(IF(Loan_Not_Paid*Values_Entered,Beginning_Balance,""), "")</f>
        <v/>
      </c>
      <c r="D348" s="23" t="str">
        <f ca="1">IFERROR(IF(Loan_Not_Paid*Values_Entered,Monthly_Payment,""), "")</f>
        <v/>
      </c>
      <c r="E348" s="23" t="str">
        <f ca="1">IFERROR(IF(Loan_Not_Paid*Values_Entered,Principal,""), "")</f>
        <v/>
      </c>
      <c r="F348" s="23" t="str">
        <f ca="1">IFERROR(IF(Loan_Not_Paid*Values_Entered,Interest,""), "")</f>
        <v/>
      </c>
      <c r="G348" s="23" t="str">
        <f ca="1">IFERROR(IF(Loan_Not_Paid*Values_Entered,Ending_Balance,""), "")</f>
        <v/>
      </c>
    </row>
    <row r="349" spans="1:7">
      <c r="A349" s="21" t="str">
        <f ca="1">IFERROR(IF(Loan_Not_Paid*Values_Entered,Payment_Number,""), "")</f>
        <v/>
      </c>
      <c r="B349" s="22" t="str">
        <f ca="1">IFERROR(IF(Loan_Not_Paid*Values_Entered,Payment_Date,""), "")</f>
        <v/>
      </c>
      <c r="C349" s="23" t="str">
        <f ca="1">IFERROR(IF(Loan_Not_Paid*Values_Entered,Beginning_Balance,""), "")</f>
        <v/>
      </c>
      <c r="D349" s="23" t="str">
        <f ca="1">IFERROR(IF(Loan_Not_Paid*Values_Entered,Monthly_Payment,""), "")</f>
        <v/>
      </c>
      <c r="E349" s="23" t="str">
        <f ca="1">IFERROR(IF(Loan_Not_Paid*Values_Entered,Principal,""), "")</f>
        <v/>
      </c>
      <c r="F349" s="23" t="str">
        <f ca="1">IFERROR(IF(Loan_Not_Paid*Values_Entered,Interest,""), "")</f>
        <v/>
      </c>
      <c r="G349" s="23" t="str">
        <f ca="1">IFERROR(IF(Loan_Not_Paid*Values_Entered,Ending_Balance,""), "")</f>
        <v/>
      </c>
    </row>
    <row r="350" spans="1:7">
      <c r="A350" s="21" t="str">
        <f ca="1">IFERROR(IF(Loan_Not_Paid*Values_Entered,Payment_Number,""), "")</f>
        <v/>
      </c>
      <c r="B350" s="22" t="str">
        <f ca="1">IFERROR(IF(Loan_Not_Paid*Values_Entered,Payment_Date,""), "")</f>
        <v/>
      </c>
      <c r="C350" s="23" t="str">
        <f ca="1">IFERROR(IF(Loan_Not_Paid*Values_Entered,Beginning_Balance,""), "")</f>
        <v/>
      </c>
      <c r="D350" s="23" t="str">
        <f ca="1">IFERROR(IF(Loan_Not_Paid*Values_Entered,Monthly_Payment,""), "")</f>
        <v/>
      </c>
      <c r="E350" s="23" t="str">
        <f ca="1">IFERROR(IF(Loan_Not_Paid*Values_Entered,Principal,""), "")</f>
        <v/>
      </c>
      <c r="F350" s="23" t="str">
        <f ca="1">IFERROR(IF(Loan_Not_Paid*Values_Entered,Interest,""), "")</f>
        <v/>
      </c>
      <c r="G350" s="23" t="str">
        <f ca="1">IFERROR(IF(Loan_Not_Paid*Values_Entered,Ending_Balance,""), "")</f>
        <v/>
      </c>
    </row>
    <row r="351" spans="1:7">
      <c r="A351" s="21" t="str">
        <f ca="1">IFERROR(IF(Loan_Not_Paid*Values_Entered,Payment_Number,""), "")</f>
        <v/>
      </c>
      <c r="B351" s="22" t="str">
        <f ca="1">IFERROR(IF(Loan_Not_Paid*Values_Entered,Payment_Date,""), "")</f>
        <v/>
      </c>
      <c r="C351" s="23" t="str">
        <f ca="1">IFERROR(IF(Loan_Not_Paid*Values_Entered,Beginning_Balance,""), "")</f>
        <v/>
      </c>
      <c r="D351" s="23" t="str">
        <f ca="1">IFERROR(IF(Loan_Not_Paid*Values_Entered,Monthly_Payment,""), "")</f>
        <v/>
      </c>
      <c r="E351" s="23" t="str">
        <f ca="1">IFERROR(IF(Loan_Not_Paid*Values_Entered,Principal,""), "")</f>
        <v/>
      </c>
      <c r="F351" s="23" t="str">
        <f ca="1">IFERROR(IF(Loan_Not_Paid*Values_Entered,Interest,""), "")</f>
        <v/>
      </c>
      <c r="G351" s="23" t="str">
        <f ca="1">IFERROR(IF(Loan_Not_Paid*Values_Entered,Ending_Balance,""), "")</f>
        <v/>
      </c>
    </row>
    <row r="352" spans="1:7">
      <c r="A352" s="21" t="str">
        <f ca="1">IFERROR(IF(Loan_Not_Paid*Values_Entered,Payment_Number,""), "")</f>
        <v/>
      </c>
      <c r="B352" s="22" t="str">
        <f ca="1">IFERROR(IF(Loan_Not_Paid*Values_Entered,Payment_Date,""), "")</f>
        <v/>
      </c>
      <c r="C352" s="23" t="str">
        <f ca="1">IFERROR(IF(Loan_Not_Paid*Values_Entered,Beginning_Balance,""), "")</f>
        <v/>
      </c>
      <c r="D352" s="23" t="str">
        <f ca="1">IFERROR(IF(Loan_Not_Paid*Values_Entered,Monthly_Payment,""), "")</f>
        <v/>
      </c>
      <c r="E352" s="23" t="str">
        <f ca="1">IFERROR(IF(Loan_Not_Paid*Values_Entered,Principal,""), "")</f>
        <v/>
      </c>
      <c r="F352" s="23" t="str">
        <f ca="1">IFERROR(IF(Loan_Not_Paid*Values_Entered,Interest,""), "")</f>
        <v/>
      </c>
      <c r="G352" s="23" t="str">
        <f ca="1">IFERROR(IF(Loan_Not_Paid*Values_Entered,Ending_Balance,""), "")</f>
        <v/>
      </c>
    </row>
    <row r="353" spans="1:7">
      <c r="A353" s="21" t="str">
        <f ca="1">IFERROR(IF(Loan_Not_Paid*Values_Entered,Payment_Number,""), "")</f>
        <v/>
      </c>
      <c r="B353" s="22" t="str">
        <f ca="1">IFERROR(IF(Loan_Not_Paid*Values_Entered,Payment_Date,""), "")</f>
        <v/>
      </c>
      <c r="C353" s="23" t="str">
        <f ca="1">IFERROR(IF(Loan_Not_Paid*Values_Entered,Beginning_Balance,""), "")</f>
        <v/>
      </c>
      <c r="D353" s="23" t="str">
        <f ca="1">IFERROR(IF(Loan_Not_Paid*Values_Entered,Monthly_Payment,""), "")</f>
        <v/>
      </c>
      <c r="E353" s="23" t="str">
        <f ca="1">IFERROR(IF(Loan_Not_Paid*Values_Entered,Principal,""), "")</f>
        <v/>
      </c>
      <c r="F353" s="23" t="str">
        <f ca="1">IFERROR(IF(Loan_Not_Paid*Values_Entered,Interest,""), "")</f>
        <v/>
      </c>
      <c r="G353" s="23" t="str">
        <f ca="1">IFERROR(IF(Loan_Not_Paid*Values_Entered,Ending_Balance,""), "")</f>
        <v/>
      </c>
    </row>
    <row r="354" spans="1:7">
      <c r="A354" s="21" t="str">
        <f ca="1">IFERROR(IF(Loan_Not_Paid*Values_Entered,Payment_Number,""), "")</f>
        <v/>
      </c>
      <c r="B354" s="22" t="str">
        <f ca="1">IFERROR(IF(Loan_Not_Paid*Values_Entered,Payment_Date,""), "")</f>
        <v/>
      </c>
      <c r="C354" s="23" t="str">
        <f ca="1">IFERROR(IF(Loan_Not_Paid*Values_Entered,Beginning_Balance,""), "")</f>
        <v/>
      </c>
      <c r="D354" s="23" t="str">
        <f ca="1">IFERROR(IF(Loan_Not_Paid*Values_Entered,Monthly_Payment,""), "")</f>
        <v/>
      </c>
      <c r="E354" s="23" t="str">
        <f ca="1">IFERROR(IF(Loan_Not_Paid*Values_Entered,Principal,""), "")</f>
        <v/>
      </c>
      <c r="F354" s="23" t="str">
        <f ca="1">IFERROR(IF(Loan_Not_Paid*Values_Entered,Interest,""), "")</f>
        <v/>
      </c>
      <c r="G354" s="23" t="str">
        <f ca="1">IFERROR(IF(Loan_Not_Paid*Values_Entered,Ending_Balance,""), "")</f>
        <v/>
      </c>
    </row>
    <row r="355" spans="1:7">
      <c r="A355" s="21" t="str">
        <f ca="1">IFERROR(IF(Loan_Not_Paid*Values_Entered,Payment_Number,""), "")</f>
        <v/>
      </c>
      <c r="B355" s="22" t="str">
        <f ca="1">IFERROR(IF(Loan_Not_Paid*Values_Entered,Payment_Date,""), "")</f>
        <v/>
      </c>
      <c r="C355" s="23" t="str">
        <f ca="1">IFERROR(IF(Loan_Not_Paid*Values_Entered,Beginning_Balance,""), "")</f>
        <v/>
      </c>
      <c r="D355" s="23" t="str">
        <f ca="1">IFERROR(IF(Loan_Not_Paid*Values_Entered,Monthly_Payment,""), "")</f>
        <v/>
      </c>
      <c r="E355" s="23" t="str">
        <f ca="1">IFERROR(IF(Loan_Not_Paid*Values_Entered,Principal,""), "")</f>
        <v/>
      </c>
      <c r="F355" s="23" t="str">
        <f ca="1">IFERROR(IF(Loan_Not_Paid*Values_Entered,Interest,""), "")</f>
        <v/>
      </c>
      <c r="G355" s="23" t="str">
        <f ca="1">IFERROR(IF(Loan_Not_Paid*Values_Entered,Ending_Balance,""), "")</f>
        <v/>
      </c>
    </row>
    <row r="356" spans="1:7">
      <c r="A356" s="21" t="str">
        <f ca="1">IFERROR(IF(Loan_Not_Paid*Values_Entered,Payment_Number,""), "")</f>
        <v/>
      </c>
      <c r="B356" s="22" t="str">
        <f ca="1">IFERROR(IF(Loan_Not_Paid*Values_Entered,Payment_Date,""), "")</f>
        <v/>
      </c>
      <c r="C356" s="23" t="str">
        <f ca="1">IFERROR(IF(Loan_Not_Paid*Values_Entered,Beginning_Balance,""), "")</f>
        <v/>
      </c>
      <c r="D356" s="23" t="str">
        <f ca="1">IFERROR(IF(Loan_Not_Paid*Values_Entered,Monthly_Payment,""), "")</f>
        <v/>
      </c>
      <c r="E356" s="23" t="str">
        <f ca="1">IFERROR(IF(Loan_Not_Paid*Values_Entered,Principal,""), "")</f>
        <v/>
      </c>
      <c r="F356" s="23" t="str">
        <f ca="1">IFERROR(IF(Loan_Not_Paid*Values_Entered,Interest,""), "")</f>
        <v/>
      </c>
      <c r="G356" s="23" t="str">
        <f ca="1">IFERROR(IF(Loan_Not_Paid*Values_Entered,Ending_Balance,""), "")</f>
        <v/>
      </c>
    </row>
    <row r="357" spans="1:7">
      <c r="A357" s="21" t="str">
        <f ca="1">IFERROR(IF(Loan_Not_Paid*Values_Entered,Payment_Number,""), "")</f>
        <v/>
      </c>
      <c r="B357" s="22" t="str">
        <f ca="1">IFERROR(IF(Loan_Not_Paid*Values_Entered,Payment_Date,""), "")</f>
        <v/>
      </c>
      <c r="C357" s="23" t="str">
        <f ca="1">IFERROR(IF(Loan_Not_Paid*Values_Entered,Beginning_Balance,""), "")</f>
        <v/>
      </c>
      <c r="D357" s="23" t="str">
        <f ca="1">IFERROR(IF(Loan_Not_Paid*Values_Entered,Monthly_Payment,""), "")</f>
        <v/>
      </c>
      <c r="E357" s="23" t="str">
        <f ca="1">IFERROR(IF(Loan_Not_Paid*Values_Entered,Principal,""), "")</f>
        <v/>
      </c>
      <c r="F357" s="23" t="str">
        <f ca="1">IFERROR(IF(Loan_Not_Paid*Values_Entered,Interest,""), "")</f>
        <v/>
      </c>
      <c r="G357" s="23" t="str">
        <f ca="1">IFERROR(IF(Loan_Not_Paid*Values_Entered,Ending_Balance,""), "")</f>
        <v/>
      </c>
    </row>
    <row r="358" spans="1:7">
      <c r="A358" s="21" t="str">
        <f ca="1">IFERROR(IF(Loan_Not_Paid*Values_Entered,Payment_Number,""), "")</f>
        <v/>
      </c>
      <c r="B358" s="22" t="str">
        <f ca="1">IFERROR(IF(Loan_Not_Paid*Values_Entered,Payment_Date,""), "")</f>
        <v/>
      </c>
      <c r="C358" s="23" t="str">
        <f ca="1">IFERROR(IF(Loan_Not_Paid*Values_Entered,Beginning_Balance,""), "")</f>
        <v/>
      </c>
      <c r="D358" s="23" t="str">
        <f ca="1">IFERROR(IF(Loan_Not_Paid*Values_Entered,Monthly_Payment,""), "")</f>
        <v/>
      </c>
      <c r="E358" s="23" t="str">
        <f ca="1">IFERROR(IF(Loan_Not_Paid*Values_Entered,Principal,""), "")</f>
        <v/>
      </c>
      <c r="F358" s="23" t="str">
        <f ca="1">IFERROR(IF(Loan_Not_Paid*Values_Entered,Interest,""), "")</f>
        <v/>
      </c>
      <c r="G358" s="23" t="str">
        <f ca="1">IFERROR(IF(Loan_Not_Paid*Values_Entered,Ending_Balance,""), "")</f>
        <v/>
      </c>
    </row>
    <row r="359" spans="1:7">
      <c r="A359" s="21" t="str">
        <f ca="1">IFERROR(IF(Loan_Not_Paid*Values_Entered,Payment_Number,""), "")</f>
        <v/>
      </c>
      <c r="B359" s="22" t="str">
        <f ca="1">IFERROR(IF(Loan_Not_Paid*Values_Entered,Payment_Date,""), "")</f>
        <v/>
      </c>
      <c r="C359" s="23" t="str">
        <f ca="1">IFERROR(IF(Loan_Not_Paid*Values_Entered,Beginning_Balance,""), "")</f>
        <v/>
      </c>
      <c r="D359" s="23" t="str">
        <f ca="1">IFERROR(IF(Loan_Not_Paid*Values_Entered,Monthly_Payment,""), "")</f>
        <v/>
      </c>
      <c r="E359" s="23" t="str">
        <f ca="1">IFERROR(IF(Loan_Not_Paid*Values_Entered,Principal,""), "")</f>
        <v/>
      </c>
      <c r="F359" s="23" t="str">
        <f ca="1">IFERROR(IF(Loan_Not_Paid*Values_Entered,Interest,""), "")</f>
        <v/>
      </c>
      <c r="G359" s="23" t="str">
        <f ca="1">IFERROR(IF(Loan_Not_Paid*Values_Entered,Ending_Balance,""), "")</f>
        <v/>
      </c>
    </row>
    <row r="360" spans="1:7">
      <c r="A360" s="21" t="str">
        <f ca="1">IFERROR(IF(Loan_Not_Paid*Values_Entered,Payment_Number,""), "")</f>
        <v/>
      </c>
      <c r="B360" s="22" t="str">
        <f ca="1">IFERROR(IF(Loan_Not_Paid*Values_Entered,Payment_Date,""), "")</f>
        <v/>
      </c>
      <c r="C360" s="23" t="str">
        <f ca="1">IFERROR(IF(Loan_Not_Paid*Values_Entered,Beginning_Balance,""), "")</f>
        <v/>
      </c>
      <c r="D360" s="23" t="str">
        <f ca="1">IFERROR(IF(Loan_Not_Paid*Values_Entered,Monthly_Payment,""), "")</f>
        <v/>
      </c>
      <c r="E360" s="23" t="str">
        <f ca="1">IFERROR(IF(Loan_Not_Paid*Values_Entered,Principal,""), "")</f>
        <v/>
      </c>
      <c r="F360" s="23" t="str">
        <f ca="1">IFERROR(IF(Loan_Not_Paid*Values_Entered,Interest,""), "")</f>
        <v/>
      </c>
      <c r="G360" s="23" t="str">
        <f ca="1">IFERROR(IF(Loan_Not_Paid*Values_Entered,Ending_Balance,""), "")</f>
        <v/>
      </c>
    </row>
    <row r="361" spans="1:7">
      <c r="A361" s="21" t="str">
        <f ca="1">IFERROR(IF(Loan_Not_Paid*Values_Entered,Payment_Number,""), "")</f>
        <v/>
      </c>
      <c r="B361" s="22" t="str">
        <f ca="1">IFERROR(IF(Loan_Not_Paid*Values_Entered,Payment_Date,""), "")</f>
        <v/>
      </c>
      <c r="C361" s="23" t="str">
        <f ca="1">IFERROR(IF(Loan_Not_Paid*Values_Entered,Beginning_Balance,""), "")</f>
        <v/>
      </c>
      <c r="D361" s="23" t="str">
        <f ca="1">IFERROR(IF(Loan_Not_Paid*Values_Entered,Monthly_Payment,""), "")</f>
        <v/>
      </c>
      <c r="E361" s="23" t="str">
        <f ca="1">IFERROR(IF(Loan_Not_Paid*Values_Entered,Principal,""), "")</f>
        <v/>
      </c>
      <c r="F361" s="23" t="str">
        <f ca="1">IFERROR(IF(Loan_Not_Paid*Values_Entered,Interest,""), "")</f>
        <v/>
      </c>
      <c r="G361" s="23" t="str">
        <f ca="1">IFERROR(IF(Loan_Not_Paid*Values_Entered,Ending_Balance,""), "")</f>
        <v/>
      </c>
    </row>
    <row r="362" spans="1:7">
      <c r="A362" s="21" t="str">
        <f ca="1">IFERROR(IF(Loan_Not_Paid*Values_Entered,Payment_Number,""), "")</f>
        <v/>
      </c>
      <c r="B362" s="22" t="str">
        <f ca="1">IFERROR(IF(Loan_Not_Paid*Values_Entered,Payment_Date,""), "")</f>
        <v/>
      </c>
      <c r="C362" s="23" t="str">
        <f ca="1">IFERROR(IF(Loan_Not_Paid*Values_Entered,Beginning_Balance,""), "")</f>
        <v/>
      </c>
      <c r="D362" s="23" t="str">
        <f ca="1">IFERROR(IF(Loan_Not_Paid*Values_Entered,Monthly_Payment,""), "")</f>
        <v/>
      </c>
      <c r="E362" s="23" t="str">
        <f ca="1">IFERROR(IF(Loan_Not_Paid*Values_Entered,Principal,""), "")</f>
        <v/>
      </c>
      <c r="F362" s="23" t="str">
        <f ca="1">IFERROR(IF(Loan_Not_Paid*Values_Entered,Interest,""), "")</f>
        <v/>
      </c>
      <c r="G362" s="23" t="str">
        <f ca="1">IFERROR(IF(Loan_Not_Paid*Values_Entered,Ending_Balance,""), "")</f>
        <v/>
      </c>
    </row>
    <row r="363" spans="1:7">
      <c r="A363" s="21" t="str">
        <f ca="1">IFERROR(IF(Loan_Not_Paid*Values_Entered,Payment_Number,""), "")</f>
        <v/>
      </c>
      <c r="B363" s="22" t="str">
        <f ca="1">IFERROR(IF(Loan_Not_Paid*Values_Entered,Payment_Date,""), "")</f>
        <v/>
      </c>
      <c r="C363" s="23" t="str">
        <f ca="1">IFERROR(IF(Loan_Not_Paid*Values_Entered,Beginning_Balance,""), "")</f>
        <v/>
      </c>
      <c r="D363" s="23" t="str">
        <f ca="1">IFERROR(IF(Loan_Not_Paid*Values_Entered,Monthly_Payment,""), "")</f>
        <v/>
      </c>
      <c r="E363" s="23" t="str">
        <f ca="1">IFERROR(IF(Loan_Not_Paid*Values_Entered,Principal,""), "")</f>
        <v/>
      </c>
      <c r="F363" s="23" t="str">
        <f ca="1">IFERROR(IF(Loan_Not_Paid*Values_Entered,Interest,""), "")</f>
        <v/>
      </c>
      <c r="G363" s="23" t="str">
        <f ca="1">IFERROR(IF(Loan_Not_Paid*Values_Entered,Ending_Balance,""), "")</f>
        <v/>
      </c>
    </row>
    <row r="364" spans="1:7">
      <c r="A364" s="21" t="str">
        <f ca="1">IFERROR(IF(Loan_Not_Paid*Values_Entered,Payment_Number,""), "")</f>
        <v/>
      </c>
      <c r="B364" s="22" t="str">
        <f ca="1">IFERROR(IF(Loan_Not_Paid*Values_Entered,Payment_Date,""), "")</f>
        <v/>
      </c>
      <c r="C364" s="23" t="str">
        <f ca="1">IFERROR(IF(Loan_Not_Paid*Values_Entered,Beginning_Balance,""), "")</f>
        <v/>
      </c>
      <c r="D364" s="23" t="str">
        <f ca="1">IFERROR(IF(Loan_Not_Paid*Values_Entered,Monthly_Payment,""), "")</f>
        <v/>
      </c>
      <c r="E364" s="23" t="str">
        <f ca="1">IFERROR(IF(Loan_Not_Paid*Values_Entered,Principal,""), "")</f>
        <v/>
      </c>
      <c r="F364" s="23" t="str">
        <f ca="1">IFERROR(IF(Loan_Not_Paid*Values_Entered,Interest,""), "")</f>
        <v/>
      </c>
      <c r="G364" s="23" t="str">
        <f ca="1">IFERROR(IF(Loan_Not_Paid*Values_Entered,Ending_Balance,""), "")</f>
        <v/>
      </c>
    </row>
    <row r="365" spans="1:7">
      <c r="A365" s="21" t="str">
        <f ca="1">IFERROR(IF(Loan_Not_Paid*Values_Entered,Payment_Number,""), "")</f>
        <v/>
      </c>
      <c r="B365" s="22" t="str">
        <f ca="1">IFERROR(IF(Loan_Not_Paid*Values_Entered,Payment_Date,""), "")</f>
        <v/>
      </c>
      <c r="C365" s="23" t="str">
        <f ca="1">IFERROR(IF(Loan_Not_Paid*Values_Entered,Beginning_Balance,""), "")</f>
        <v/>
      </c>
      <c r="D365" s="23" t="str">
        <f ca="1">IFERROR(IF(Loan_Not_Paid*Values_Entered,Monthly_Payment,""), "")</f>
        <v/>
      </c>
      <c r="E365" s="23" t="str">
        <f ca="1">IFERROR(IF(Loan_Not_Paid*Values_Entered,Principal,""), "")</f>
        <v/>
      </c>
      <c r="F365" s="23" t="str">
        <f ca="1">IFERROR(IF(Loan_Not_Paid*Values_Entered,Interest,""), "")</f>
        <v/>
      </c>
      <c r="G365" s="23" t="str">
        <f ca="1">IFERROR(IF(Loan_Not_Paid*Values_Entered,Ending_Balance,""), "")</f>
        <v/>
      </c>
    </row>
    <row r="366" spans="1:7">
      <c r="A366" s="21" t="str">
        <f ca="1">IFERROR(IF(Loan_Not_Paid*Values_Entered,Payment_Number,""), "")</f>
        <v/>
      </c>
      <c r="B366" s="22" t="str">
        <f ca="1">IFERROR(IF(Loan_Not_Paid*Values_Entered,Payment_Date,""), "")</f>
        <v/>
      </c>
      <c r="C366" s="23" t="str">
        <f ca="1">IFERROR(IF(Loan_Not_Paid*Values_Entered,Beginning_Balance,""), "")</f>
        <v/>
      </c>
      <c r="D366" s="23" t="str">
        <f ca="1">IFERROR(IF(Loan_Not_Paid*Values_Entered,Monthly_Payment,""), "")</f>
        <v/>
      </c>
      <c r="E366" s="23" t="str">
        <f ca="1">IFERROR(IF(Loan_Not_Paid*Values_Entered,Principal,""), "")</f>
        <v/>
      </c>
      <c r="F366" s="23" t="str">
        <f ca="1">IFERROR(IF(Loan_Not_Paid*Values_Entered,Interest,""), "")</f>
        <v/>
      </c>
      <c r="G366" s="23" t="str">
        <f ca="1">IFERROR(IF(Loan_Not_Paid*Values_Entered,Ending_Balance,""), "")</f>
        <v/>
      </c>
    </row>
    <row r="367" spans="1:7">
      <c r="A367" s="21" t="str">
        <f ca="1">IFERROR(IF(Loan_Not_Paid*Values_Entered,Payment_Number,""), "")</f>
        <v/>
      </c>
      <c r="B367" s="22" t="str">
        <f ca="1">IFERROR(IF(Loan_Not_Paid*Values_Entered,Payment_Date,""), "")</f>
        <v/>
      </c>
      <c r="C367" s="23" t="str">
        <f ca="1">IFERROR(IF(Loan_Not_Paid*Values_Entered,Beginning_Balance,""), "")</f>
        <v/>
      </c>
      <c r="D367" s="23" t="str">
        <f ca="1">IFERROR(IF(Loan_Not_Paid*Values_Entered,Monthly_Payment,""), "")</f>
        <v/>
      </c>
      <c r="E367" s="23" t="str">
        <f ca="1">IFERROR(IF(Loan_Not_Paid*Values_Entered,Principal,""), "")</f>
        <v/>
      </c>
      <c r="F367" s="23" t="str">
        <f ca="1">IFERROR(IF(Loan_Not_Paid*Values_Entered,Interest,""), "")</f>
        <v/>
      </c>
      <c r="G367" s="23" t="str">
        <f ca="1">IFERROR(IF(Loan_Not_Paid*Values_Entered,Ending_Balance,""), "")</f>
        <v/>
      </c>
    </row>
    <row r="368" spans="1:7">
      <c r="A368" s="21" t="str">
        <f ca="1">IFERROR(IF(Loan_Not_Paid*Values_Entered,Payment_Number,""), "")</f>
        <v/>
      </c>
      <c r="B368" s="22" t="str">
        <f ca="1">IFERROR(IF(Loan_Not_Paid*Values_Entered,Payment_Date,""), "")</f>
        <v/>
      </c>
      <c r="C368" s="23" t="str">
        <f ca="1">IFERROR(IF(Loan_Not_Paid*Values_Entered,Beginning_Balance,""), "")</f>
        <v/>
      </c>
      <c r="D368" s="23" t="str">
        <f ca="1">IFERROR(IF(Loan_Not_Paid*Values_Entered,Monthly_Payment,""), "")</f>
        <v/>
      </c>
      <c r="E368" s="23" t="str">
        <f ca="1">IFERROR(IF(Loan_Not_Paid*Values_Entered,Principal,""), "")</f>
        <v/>
      </c>
      <c r="F368" s="23" t="str">
        <f ca="1">IFERROR(IF(Loan_Not_Paid*Values_Entered,Interest,""), "")</f>
        <v/>
      </c>
      <c r="G368" s="23" t="str">
        <f ca="1">IFERROR(IF(Loan_Not_Paid*Values_Entered,Ending_Balance,""), "")</f>
        <v/>
      </c>
    </row>
    <row r="369" spans="1:7">
      <c r="A369" s="21" t="str">
        <f ca="1">IFERROR(IF(Loan_Not_Paid*Values_Entered,Payment_Number,""), "")</f>
        <v/>
      </c>
      <c r="B369" s="22" t="str">
        <f ca="1">IFERROR(IF(Loan_Not_Paid*Values_Entered,Payment_Date,""), "")</f>
        <v/>
      </c>
      <c r="C369" s="23" t="str">
        <f ca="1">IFERROR(IF(Loan_Not_Paid*Values_Entered,Beginning_Balance,""), "")</f>
        <v/>
      </c>
      <c r="D369" s="23" t="str">
        <f ca="1">IFERROR(IF(Loan_Not_Paid*Values_Entered,Monthly_Payment,""), "")</f>
        <v/>
      </c>
      <c r="E369" s="23" t="str">
        <f ca="1">IFERROR(IF(Loan_Not_Paid*Values_Entered,Principal,""), "")</f>
        <v/>
      </c>
      <c r="F369" s="23" t="str">
        <f ca="1">IFERROR(IF(Loan_Not_Paid*Values_Entered,Interest,""), "")</f>
        <v/>
      </c>
      <c r="G369" s="23" t="str">
        <f ca="1">IFERROR(IF(Loan_Not_Paid*Values_Entered,Ending_Balance,""), "")</f>
        <v/>
      </c>
    </row>
    <row r="370" spans="1:7">
      <c r="A370" s="21" t="str">
        <f ca="1">IFERROR(IF(Loan_Not_Paid*Values_Entered,Payment_Number,""), "")</f>
        <v/>
      </c>
      <c r="B370" s="22" t="str">
        <f ca="1">IFERROR(IF(Loan_Not_Paid*Values_Entered,Payment_Date,""), "")</f>
        <v/>
      </c>
      <c r="C370" s="23" t="str">
        <f ca="1">IFERROR(IF(Loan_Not_Paid*Values_Entered,Beginning_Balance,""), "")</f>
        <v/>
      </c>
      <c r="D370" s="23" t="str">
        <f ca="1">IFERROR(IF(Loan_Not_Paid*Values_Entered,Monthly_Payment,""), "")</f>
        <v/>
      </c>
      <c r="E370" s="23" t="str">
        <f ca="1">IFERROR(IF(Loan_Not_Paid*Values_Entered,Principal,""), "")</f>
        <v/>
      </c>
      <c r="F370" s="23" t="str">
        <f ca="1">IFERROR(IF(Loan_Not_Paid*Values_Entered,Interest,""), "")</f>
        <v/>
      </c>
      <c r="G370" s="23" t="str">
        <f ca="1">IFERROR(IF(Loan_Not_Paid*Values_Entered,Ending_Balance,""), "")</f>
        <v/>
      </c>
    </row>
    <row r="371" spans="1:7">
      <c r="A371" s="21" t="str">
        <f ca="1">IFERROR(IF(Loan_Not_Paid*Values_Entered,Payment_Number,""), "")</f>
        <v/>
      </c>
      <c r="B371" s="22" t="str">
        <f ca="1">IFERROR(IF(Loan_Not_Paid*Values_Entered,Payment_Date,""), "")</f>
        <v/>
      </c>
      <c r="C371" s="23" t="str">
        <f ca="1">IFERROR(IF(Loan_Not_Paid*Values_Entered,Beginning_Balance,""), "")</f>
        <v/>
      </c>
      <c r="D371" s="23" t="str">
        <f ca="1">IFERROR(IF(Loan_Not_Paid*Values_Entered,Monthly_Payment,""), "")</f>
        <v/>
      </c>
      <c r="E371" s="23" t="str">
        <f ca="1">IFERROR(IF(Loan_Not_Paid*Values_Entered,Principal,""), "")</f>
        <v/>
      </c>
      <c r="F371" s="23" t="str">
        <f ca="1">IFERROR(IF(Loan_Not_Paid*Values_Entered,Interest,""), "")</f>
        <v/>
      </c>
      <c r="G371" s="23" t="str">
        <f ca="1">IFERROR(IF(Loan_Not_Paid*Values_Entered,Ending_Balance,""), "")</f>
        <v/>
      </c>
    </row>
    <row r="372" spans="1:7">
      <c r="A372" s="21" t="str">
        <f ca="1">IFERROR(IF(Loan_Not_Paid*Values_Entered,Payment_Number,""), "")</f>
        <v/>
      </c>
      <c r="B372" s="22" t="str">
        <f ca="1">IFERROR(IF(Loan_Not_Paid*Values_Entered,Payment_Date,""), "")</f>
        <v/>
      </c>
      <c r="C372" s="23" t="str">
        <f ca="1">IFERROR(IF(Loan_Not_Paid*Values_Entered,Beginning_Balance,""), "")</f>
        <v/>
      </c>
      <c r="D372" s="23" t="str">
        <f ca="1">IFERROR(IF(Loan_Not_Paid*Values_Entered,Monthly_Payment,""), "")</f>
        <v/>
      </c>
      <c r="E372" s="23" t="str">
        <f ca="1">IFERROR(IF(Loan_Not_Paid*Values_Entered,Principal,""), "")</f>
        <v/>
      </c>
      <c r="F372" s="23" t="str">
        <f ca="1">IFERROR(IF(Loan_Not_Paid*Values_Entered,Interest,""), "")</f>
        <v/>
      </c>
      <c r="G372" s="23" t="str">
        <f ca="1">IFERROR(IF(Loan_Not_Paid*Values_Entered,Ending_Balance,""), "")</f>
        <v/>
      </c>
    </row>
    <row r="373" spans="1:7">
      <c r="A373" s="21" t="str">
        <f ca="1">IFERROR(IF(Loan_Not_Paid*Values_Entered,Payment_Number,""), "")</f>
        <v/>
      </c>
      <c r="B373" s="22" t="str">
        <f ca="1">IFERROR(IF(Loan_Not_Paid*Values_Entered,Payment_Date,""), "")</f>
        <v/>
      </c>
      <c r="C373" s="23" t="str">
        <f ca="1">IFERROR(IF(Loan_Not_Paid*Values_Entered,Beginning_Balance,""), "")</f>
        <v/>
      </c>
      <c r="D373" s="23" t="str">
        <f ca="1">IFERROR(IF(Loan_Not_Paid*Values_Entered,Monthly_Payment,""), "")</f>
        <v/>
      </c>
      <c r="E373" s="23" t="str">
        <f ca="1">IFERROR(IF(Loan_Not_Paid*Values_Entered,Principal,""), "")</f>
        <v/>
      </c>
      <c r="F373" s="23" t="str">
        <f ca="1">IFERROR(IF(Loan_Not_Paid*Values_Entered,Interest,""), "")</f>
        <v/>
      </c>
      <c r="G373" s="23" t="str">
        <f ca="1">IFERROR(IF(Loan_Not_Paid*Values_Entered,Ending_Balance,""), "")</f>
        <v/>
      </c>
    </row>
    <row r="374" spans="1:7">
      <c r="A374" s="21" t="str">
        <f ca="1">IFERROR(IF(Loan_Not_Paid*Values_Entered,Payment_Number,""), "")</f>
        <v/>
      </c>
      <c r="B374" s="22" t="str">
        <f ca="1">IFERROR(IF(Loan_Not_Paid*Values_Entered,Payment_Date,""), "")</f>
        <v/>
      </c>
      <c r="C374" s="23" t="str">
        <f ca="1">IFERROR(IF(Loan_Not_Paid*Values_Entered,Beginning_Balance,""), "")</f>
        <v/>
      </c>
      <c r="D374" s="23" t="str">
        <f ca="1">IFERROR(IF(Loan_Not_Paid*Values_Entered,Monthly_Payment,""), "")</f>
        <v/>
      </c>
      <c r="E374" s="23" t="str">
        <f ca="1">IFERROR(IF(Loan_Not_Paid*Values_Entered,Principal,""), "")</f>
        <v/>
      </c>
      <c r="F374" s="23" t="str">
        <f ca="1">IFERROR(IF(Loan_Not_Paid*Values_Entered,Interest,""), "")</f>
        <v/>
      </c>
      <c r="G374" s="23" t="str">
        <f ca="1">IFERROR(IF(Loan_Not_Paid*Values_Entered,Ending_Balance,""), "")</f>
        <v/>
      </c>
    </row>
    <row r="375" spans="1:7">
      <c r="A375" s="21" t="str">
        <f ca="1">IFERROR(IF(Loan_Not_Paid*Values_Entered,Payment_Number,""), "")</f>
        <v/>
      </c>
      <c r="B375" s="22" t="str">
        <f ca="1">IFERROR(IF(Loan_Not_Paid*Values_Entered,Payment_Date,""), "")</f>
        <v/>
      </c>
      <c r="C375" s="23" t="str">
        <f ca="1">IFERROR(IF(Loan_Not_Paid*Values_Entered,Beginning_Balance,""), "")</f>
        <v/>
      </c>
      <c r="D375" s="23" t="str">
        <f ca="1">IFERROR(IF(Loan_Not_Paid*Values_Entered,Monthly_Payment,""), "")</f>
        <v/>
      </c>
      <c r="E375" s="23" t="str">
        <f ca="1">IFERROR(IF(Loan_Not_Paid*Values_Entered,Principal,""), "")</f>
        <v/>
      </c>
      <c r="F375" s="23" t="str">
        <f ca="1">IFERROR(IF(Loan_Not_Paid*Values_Entered,Interest,""), "")</f>
        <v/>
      </c>
      <c r="G375" s="23" t="str">
        <f ca="1">IFERROR(IF(Loan_Not_Paid*Values_Entered,Ending_Balance,""), "")</f>
        <v/>
      </c>
    </row>
    <row r="376" spans="1:7">
      <c r="A376" s="21" t="str">
        <f ca="1">IFERROR(IF(Loan_Not_Paid*Values_Entered,Payment_Number,""), "")</f>
        <v/>
      </c>
      <c r="B376" s="22" t="str">
        <f ca="1">IFERROR(IF(Loan_Not_Paid*Values_Entered,Payment_Date,""), "")</f>
        <v/>
      </c>
      <c r="C376" s="23" t="str">
        <f ca="1">IFERROR(IF(Loan_Not_Paid*Values_Entered,Beginning_Balance,""), "")</f>
        <v/>
      </c>
      <c r="D376" s="23" t="str">
        <f ca="1">IFERROR(IF(Loan_Not_Paid*Values_Entered,Monthly_Payment,""), "")</f>
        <v/>
      </c>
      <c r="E376" s="23" t="str">
        <f ca="1">IFERROR(IF(Loan_Not_Paid*Values_Entered,Principal,""), "")</f>
        <v/>
      </c>
      <c r="F376" s="23" t="str">
        <f ca="1">IFERROR(IF(Loan_Not_Paid*Values_Entered,Interest,""), "")</f>
        <v/>
      </c>
      <c r="G376" s="23" t="str">
        <f ca="1">IFERROR(IF(Loan_Not_Paid*Values_Entered,Ending_Balance,""), "")</f>
        <v/>
      </c>
    </row>
  </sheetData>
  <mergeCells count="9">
    <mergeCell ref="A10:B10"/>
    <mergeCell ref="A11:B11"/>
    <mergeCell ref="A1:G1"/>
    <mergeCell ref="A3:B3"/>
    <mergeCell ref="A4:B4"/>
    <mergeCell ref="A5:B5"/>
    <mergeCell ref="A6:B6"/>
    <mergeCell ref="A8:B8"/>
    <mergeCell ref="A9:B9"/>
  </mergeCells>
  <dataValidations count="25">
    <dataValidation allowBlank="1" showInputMessage="1" showErrorMessage="1" prompt="Enter Annual interest rate in this cell_x000a_" sqref="C4" xr:uid="{D2BC2791-0DC2-44C8-AA84-7CB528DC5131}"/>
    <dataValidation allowBlank="1" showInputMessage="1" showErrorMessage="1" prompt="Total cost of loan is automatically calculated in this cell" sqref="C11" xr:uid="{152D01AA-042D-4CB4-AAE4-BF9755D24E06}"/>
    <dataValidation allowBlank="1" showInputMessage="1" showErrorMessage="1" prompt="Total cost of loan is automatically calculated in cell at right" sqref="A11" xr:uid="{48A2770F-31C7-403E-BDAF-C3FFA4B670D9}"/>
    <dataValidation allowBlank="1" showInputMessage="1" showErrorMessage="1" prompt="Enter Annual interest rate in this cell" sqref="C4" xr:uid="{CA4AE6AA-3A0E-42F4-97A9-54CF17509A3F}"/>
    <dataValidation allowBlank="1" showInputMessage="1" showErrorMessage="1" prompt="Ending balance is automatically updated in this column under this heading" sqref="G13" xr:uid="{8965EC91-A551-43BC-A0C7-CAFA87D786FB}"/>
    <dataValidation allowBlank="1" showInputMessage="1" showErrorMessage="1" prompt="Interest amount is automatically updated in this column under this heading" sqref="F13" xr:uid="{09B7B2EF-E3B4-422F-8EBB-1F063D5BF586}"/>
    <dataValidation allowBlank="1" showInputMessage="1" showErrorMessage="1" prompt="Principal amount is automatically updated in this column under this heading" sqref="E13" xr:uid="{96412EAA-4188-45A7-ACF6-3F7772F7564A}"/>
    <dataValidation allowBlank="1" showInputMessage="1" showErrorMessage="1" prompt="Payment amount is automatically calculated in this column under this heading" sqref="D13" xr:uid="{E898D8F9-2678-485F-B78B-F3B446B74DE5}"/>
    <dataValidation allowBlank="1" showInputMessage="1" showErrorMessage="1" prompt="Beginning balance is automatically calculated in this column under this heading" sqref="C13" xr:uid="{3B7531D5-A22D-466B-991B-5636DB45BEC7}"/>
    <dataValidation allowBlank="1" showInputMessage="1" showErrorMessage="1" prompt="Payment date is automatically updated in this column under this heading" sqref="B13" xr:uid="{EC21EAD6-1118-4B11-AB42-816A84A4C875}"/>
    <dataValidation allowBlank="1" showInputMessage="1" showErrorMessage="1" prompt="Payment Number is automatically updated in this column under this heading" sqref="A13" xr:uid="{CAA51B0A-9358-4046-AE78-6591ABBCCF50}"/>
    <dataValidation allowBlank="1" showInputMessage="1" showErrorMessage="1" prompt="Total interest is automatically calculated in this cell" sqref="C10" xr:uid="{26F05148-1463-42D6-834F-A0C1386BC710}"/>
    <dataValidation allowBlank="1" showInputMessage="1" showErrorMessage="1" prompt="Total interest is automatically calculated in cell at right" sqref="A10" xr:uid="{DA8BA554-B15E-4F73-ABE8-CC945ADA759E}"/>
    <dataValidation allowBlank="1" showInputMessage="1" showErrorMessage="1" prompt="Number of payments is automatically calculated in this cell" sqref="C9" xr:uid="{36B4DE7A-9554-4805-863F-AE5B1A63A5B5}"/>
    <dataValidation allowBlank="1" showInputMessage="1" showErrorMessage="1" prompt="Number of payments is automatically calculated in cell at right" sqref="A9" xr:uid="{46C10BEF-0949-4402-80B0-A4EB358D11F5}"/>
    <dataValidation allowBlank="1" showInputMessage="1" showErrorMessage="1" prompt="Monthly payment is automatically calculated in this cell" sqref="C8" xr:uid="{F925939A-F05E-4C97-B3D7-95DB8EEBFA3D}"/>
    <dataValidation allowBlank="1" showInputMessage="1" showErrorMessage="1" prompt="Monthly payment is automatically calculated in cell at right" sqref="A8" xr:uid="{5491B0B7-60C2-4498-87D3-E62617A12419}"/>
    <dataValidation allowBlank="1" showInputMessage="1" showErrorMessage="1" prompt="Enter Start date of loan in this cell" sqref="C6" xr:uid="{8C3494F2-B036-4AAE-8363-8A4112DCF971}"/>
    <dataValidation allowBlank="1" showInputMessage="1" showErrorMessage="1" prompt="Enter Start date of loan in cell at right" sqref="A6" xr:uid="{43865725-6D07-4436-8EC9-0D066857F2CA}"/>
    <dataValidation allowBlank="1" showInputMessage="1" showErrorMessage="1" prompt="Enter Loan period in years in this cell" sqref="C5" xr:uid="{8F310D70-FF6F-4084-91C7-E19E613B4EFC}"/>
    <dataValidation allowBlank="1" showInputMessage="1" showErrorMessage="1" prompt="Enter Loan period in years in cell at right" sqref="A5" xr:uid="{69EE52CC-3CF9-4697-8955-07B2FBC82CFC}"/>
    <dataValidation allowBlank="1" showInputMessage="1" showErrorMessage="1" prompt="Enter Annual interest rate in cell at right" sqref="A4" xr:uid="{5A83E12C-BFC4-40BB-AB15-7E9EC74795D4}"/>
    <dataValidation allowBlank="1" showInputMessage="1" showErrorMessage="1" prompt="Enter Loan amount in this cell" sqref="C3" xr:uid="{B59EA656-F237-4218-9AAD-19DA033AC797}"/>
    <dataValidation allowBlank="1" showInputMessage="1" showErrorMessage="1" prompt="Enter Loan amount in cell at right" sqref="A3" xr:uid="{F6135978-3122-4902-92B1-09820D474D5E}"/>
    <dataValidation allowBlank="1" showInputMessage="1" showErrorMessage="1" prompt="Title of this worksheet is in this cell. Enter Loan values in cells D3 through D6. Loan summary in cells D8 through D11 and Loan table are automatically updated" sqref="A1" xr:uid="{C664E3C5-13CB-43CA-8E64-88A83176371A}"/>
  </dataValidations>
  <pageMargins left="0.7" right="0.7" top="0.75" bottom="0.75" header="0.3" footer="0.3"/>
  <drawing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C83D23-BBDB-4A7E-B306-04DA0A97012A}">
  <sheetPr>
    <tabColor theme="4"/>
    <pageSetUpPr autoPageBreaks="0" fitToPage="1"/>
  </sheetPr>
  <dimension ref="B1:P22"/>
  <sheetViews>
    <sheetView showGridLines="0" zoomScaleNormal="100" workbookViewId="0"/>
  </sheetViews>
  <sheetFormatPr defaultColWidth="10.8984375" defaultRowHeight="14.5"/>
  <cols>
    <col min="1" max="1" width="2.19921875" style="50" customWidth="1"/>
    <col min="2" max="2" width="3.19921875" style="50" customWidth="1"/>
    <col min="3" max="3" width="11.8984375" style="50" customWidth="1"/>
    <col min="4" max="4" width="10.69921875" style="50" bestFit="1" customWidth="1"/>
    <col min="5" max="5" width="13.3984375" style="50" customWidth="1"/>
    <col min="6" max="6" width="10.296875" style="50" customWidth="1"/>
    <col min="7" max="7" width="3.19921875" style="50" customWidth="1"/>
    <col min="8" max="8" width="11.5" style="50" customWidth="1"/>
    <col min="9" max="9" width="8.5" style="50" customWidth="1"/>
    <col min="10" max="10" width="13.796875" style="50" customWidth="1"/>
    <col min="11" max="11" width="3.296875" style="50" customWidth="1"/>
    <col min="12" max="12" width="18" style="50" customWidth="1"/>
    <col min="13" max="13" width="16.3984375" style="50" customWidth="1"/>
    <col min="14" max="14" width="18" style="50" customWidth="1"/>
    <col min="15" max="15" width="18.59765625" style="50" customWidth="1"/>
    <col min="16" max="17" width="3.19921875" style="50" customWidth="1"/>
    <col min="18" max="16384" width="10.8984375" style="50"/>
  </cols>
  <sheetData>
    <row r="1" spans="2:16">
      <c r="B1" s="220" t="s">
        <v>204</v>
      </c>
      <c r="C1" s="220"/>
      <c r="D1" s="220"/>
      <c r="E1" s="220"/>
      <c r="F1" s="220"/>
      <c r="G1" s="220"/>
      <c r="H1" s="220"/>
      <c r="I1" s="220"/>
      <c r="J1" s="220"/>
      <c r="K1" s="220"/>
      <c r="L1" s="220"/>
      <c r="M1" s="220"/>
      <c r="N1" s="220"/>
      <c r="O1" s="220"/>
      <c r="P1" s="220"/>
    </row>
    <row r="2" spans="2:16">
      <c r="B2" s="81"/>
      <c r="C2" s="222" t="s">
        <v>145</v>
      </c>
      <c r="D2" s="222"/>
      <c r="E2" s="222"/>
      <c r="F2" s="222"/>
      <c r="G2" s="222"/>
      <c r="H2" s="222"/>
      <c r="I2" s="222"/>
      <c r="J2" s="222"/>
      <c r="K2" s="169"/>
      <c r="L2" s="221">
        <v>70000</v>
      </c>
      <c r="M2" s="221"/>
      <c r="N2" s="230">
        <f ca="1">TODAY()-701</f>
        <v>45056</v>
      </c>
      <c r="O2" s="230"/>
      <c r="P2" s="81"/>
    </row>
    <row r="3" spans="2:16">
      <c r="B3" s="81"/>
      <c r="C3" s="222"/>
      <c r="D3" s="222"/>
      <c r="E3" s="222"/>
      <c r="F3" s="222"/>
      <c r="G3" s="222"/>
      <c r="H3" s="222"/>
      <c r="I3" s="222"/>
      <c r="J3" s="222"/>
      <c r="K3" s="82"/>
      <c r="L3" s="229" t="s">
        <v>143</v>
      </c>
      <c r="M3" s="229"/>
      <c r="N3" s="229" t="s">
        <v>144</v>
      </c>
      <c r="O3" s="229"/>
      <c r="P3" s="81"/>
    </row>
    <row r="4" spans="2:16" ht="8.15" customHeight="1" thickBot="1">
      <c r="B4" s="81"/>
      <c r="C4" s="83"/>
      <c r="D4" s="83"/>
      <c r="E4" s="83"/>
      <c r="F4" s="83"/>
      <c r="G4" s="84"/>
      <c r="H4" s="84"/>
      <c r="I4" s="84"/>
      <c r="J4" s="84"/>
      <c r="K4" s="84"/>
      <c r="L4" s="84"/>
      <c r="M4" s="84"/>
      <c r="N4" s="84"/>
      <c r="O4" s="84"/>
      <c r="P4" s="85"/>
    </row>
    <row r="5" spans="2:16" ht="15" thickTop="1">
      <c r="B5" s="81"/>
      <c r="C5" s="86"/>
      <c r="D5" s="86"/>
      <c r="E5" s="86"/>
      <c r="F5" s="86"/>
      <c r="G5" s="87"/>
      <c r="H5" s="87"/>
      <c r="I5" s="87"/>
      <c r="J5" s="87"/>
      <c r="K5" s="87"/>
      <c r="L5" s="87"/>
      <c r="M5" s="87"/>
      <c r="N5" s="87"/>
      <c r="O5" s="87"/>
      <c r="P5" s="85"/>
    </row>
    <row r="6" spans="2:16">
      <c r="B6" s="81"/>
      <c r="C6" s="88" t="s">
        <v>146</v>
      </c>
      <c r="D6" s="88"/>
      <c r="E6" s="88"/>
      <c r="F6" s="89">
        <f ca="1">IFERROR(CollegeLoans18[[#Totals],[Current Monthly Payment]],"")</f>
        <v>106.06551523907524</v>
      </c>
      <c r="G6" s="90"/>
      <c r="H6" s="90"/>
      <c r="I6" s="90"/>
      <c r="J6" s="91"/>
      <c r="K6" s="91"/>
      <c r="L6" s="88" t="s">
        <v>147</v>
      </c>
      <c r="M6" s="88"/>
      <c r="N6" s="88"/>
      <c r="O6" s="92">
        <f ca="1">IFERROR(CollegeLoans18[[#Totals],[Scheduled Payment]],0)</f>
        <v>190.91792743033542</v>
      </c>
      <c r="P6" s="93"/>
    </row>
    <row r="7" spans="2:16">
      <c r="B7" s="81"/>
      <c r="C7" s="94" t="s">
        <v>148</v>
      </c>
      <c r="D7" s="94"/>
      <c r="E7" s="94"/>
      <c r="F7" s="95" t="str">
        <f ca="1">IFERROR(CollegeLoans18[[#Totals],[Current Monthly Payment]]/EstimatedMonthlySalary,"")</f>
        <v/>
      </c>
      <c r="G7" s="96"/>
      <c r="H7" s="96"/>
      <c r="I7" s="96"/>
      <c r="J7" s="97"/>
      <c r="K7" s="97"/>
      <c r="L7" s="94" t="s">
        <v>149</v>
      </c>
      <c r="M7" s="94"/>
      <c r="N7" s="94"/>
      <c r="O7" s="95" t="str">
        <f ca="1">IFERROR(CollegeLoans18[[#Totals],[Scheduled Payment]]/EstimatedMonthlySalary,"")</f>
        <v/>
      </c>
      <c r="P7" s="98"/>
    </row>
    <row r="8" spans="2:16">
      <c r="B8" s="81"/>
      <c r="C8" s="99"/>
      <c r="D8" s="99"/>
      <c r="E8" s="100"/>
      <c r="F8" s="100"/>
      <c r="G8" s="100"/>
      <c r="H8" s="99"/>
      <c r="I8" s="99"/>
      <c r="J8" s="99"/>
      <c r="K8" s="99"/>
      <c r="L8" s="99"/>
      <c r="M8" s="99"/>
      <c r="N8" s="99"/>
      <c r="O8" s="99"/>
      <c r="P8" s="81"/>
    </row>
    <row r="9" spans="2:16">
      <c r="B9" s="81"/>
      <c r="C9" s="101" t="s">
        <v>150</v>
      </c>
      <c r="D9" s="102"/>
      <c r="E9" s="102"/>
      <c r="F9" s="103"/>
      <c r="G9" s="104"/>
      <c r="H9" s="105" t="s">
        <v>151</v>
      </c>
      <c r="I9" s="106"/>
      <c r="J9" s="107"/>
      <c r="K9" s="104"/>
      <c r="L9" s="108" t="s">
        <v>152</v>
      </c>
      <c r="M9" s="109"/>
      <c r="N9" s="109"/>
      <c r="O9" s="110"/>
      <c r="P9" s="81"/>
    </row>
    <row r="10" spans="2:16" ht="91">
      <c r="B10" s="81"/>
      <c r="C10" s="111" t="s">
        <v>153</v>
      </c>
      <c r="D10" s="112" t="s">
        <v>154</v>
      </c>
      <c r="E10" s="113" t="s">
        <v>155</v>
      </c>
      <c r="F10" s="114" t="s">
        <v>156</v>
      </c>
      <c r="G10" s="115" t="s">
        <v>157</v>
      </c>
      <c r="H10" s="116" t="s">
        <v>158</v>
      </c>
      <c r="I10" s="117" t="s">
        <v>159</v>
      </c>
      <c r="J10" s="118" t="s">
        <v>160</v>
      </c>
      <c r="K10" s="119" t="s">
        <v>161</v>
      </c>
      <c r="L10" s="120" t="s">
        <v>162</v>
      </c>
      <c r="M10" s="121" t="s">
        <v>115</v>
      </c>
      <c r="N10" s="121" t="s">
        <v>163</v>
      </c>
      <c r="O10" s="122" t="s">
        <v>164</v>
      </c>
      <c r="P10" s="81"/>
    </row>
    <row r="11" spans="2:16">
      <c r="B11" s="81"/>
      <c r="C11" s="123" t="s">
        <v>165</v>
      </c>
      <c r="D11" s="124" t="s">
        <v>171</v>
      </c>
      <c r="E11" s="125">
        <v>10000</v>
      </c>
      <c r="F11" s="126">
        <v>0.05</v>
      </c>
      <c r="G11" s="127"/>
      <c r="H11" s="128">
        <v>44595</v>
      </c>
      <c r="I11" s="129">
        <v>10</v>
      </c>
      <c r="J11" s="130">
        <f>IF(AND(CollegeLoans18[[#This Row],[Beginning Date]]&gt;0,CollegeLoans18[[#This Row],[Length (Yrs)]]&gt;0),EDATE(CollegeLoans18[[#This Row],[Beginning Date]],CollegeLoans18[[#This Row],[Length (Yrs)]]*12),"")</f>
        <v>48247</v>
      </c>
      <c r="K11" s="131"/>
      <c r="L11" s="132">
        <f ca="1">IFERROR(IF(AND(LoanStartLToday,COUNT(CollegeLoans18[[#This Row],[Loan Amount]:[Length (Yrs)]])=4,CollegeLoans18[[#This Row],[Beginning Date]]&lt;=TODAY()),PMT(CollegeLoans18[[#This Row],[Annual Interest Rate]]/12,CollegeLoans18[[#This Row],[Length (Yrs)]]*12,-CollegeLoans18[[#This Row],[Loan Amount]],0,0),""),0)</f>
        <v>106.06551523907524</v>
      </c>
      <c r="M11" s="133">
        <f>IFERROR((CollegeLoans18[[#This Row],[Scheduled Payment]]*(CollegeLoans18[[#This Row],[Length (Yrs)]]*12))-CollegeLoans18[[#This Row],[Loan Amount]],"")</f>
        <v>2727.8618286890287</v>
      </c>
      <c r="N11" s="133">
        <f>IF(COUNTA(CollegeLoans18[[#This Row],[Loan Amount]:[Length (Yrs)]])&lt;&gt;4,"",PMT(CollegeLoans18[[#This Row],[Annual Interest Rate]]/12,CollegeLoans18[[#This Row],[Length (Yrs)]]*12,-CollegeLoans18[[#This Row],[Loan Amount]],0,0))</f>
        <v>106.06551523907524</v>
      </c>
      <c r="O11" s="134">
        <f>IFERROR(CollegeLoans18[[#This Row],[Scheduled Payment]]*12,"")</f>
        <v>1272.7861828689029</v>
      </c>
      <c r="P11" s="81"/>
    </row>
    <row r="12" spans="2:16">
      <c r="B12" s="81"/>
      <c r="C12" s="135" t="s">
        <v>166</v>
      </c>
      <c r="D12" s="136" t="s">
        <v>172</v>
      </c>
      <c r="E12" s="137">
        <v>8000</v>
      </c>
      <c r="F12" s="138">
        <v>0.05</v>
      </c>
      <c r="G12" s="127"/>
      <c r="H12" s="139">
        <f ca="1">DATE(YEAR(TODAY()),5,1)</f>
        <v>45778</v>
      </c>
      <c r="I12" s="140">
        <v>10</v>
      </c>
      <c r="J12" s="141">
        <f ca="1">IF(AND(CollegeLoans18[[#This Row],[Beginning Date]]&gt;0,CollegeLoans18[[#This Row],[Length (Yrs)]]&gt;0),EDATE(CollegeLoans18[[#This Row],[Beginning Date]],CollegeLoans18[[#This Row],[Length (Yrs)]]*12),"")</f>
        <v>49430</v>
      </c>
      <c r="K12" s="131"/>
      <c r="L12" s="142" t="str">
        <f ca="1">IFERROR(IF(AND(LoanStartLToday,COUNT(CollegeLoans18[[#This Row],[Loan Amount]:[Length (Yrs)]])=4,CollegeLoans18[[#This Row],[Beginning Date]]&lt;=TODAY()),PMT(CollegeLoans18[[#This Row],[Annual Interest Rate]]/12,CollegeLoans18[[#This Row],[Length (Yrs)]]*12,-CollegeLoans18[[#This Row],[Loan Amount]],0,0),""),0)</f>
        <v/>
      </c>
      <c r="M12" s="143">
        <f ca="1">IFERROR((CollegeLoans18[[#This Row],[Scheduled Payment]]*(CollegeLoans18[[#This Row],[Length (Yrs)]]*12))-CollegeLoans18[[#This Row],[Loan Amount]],"")</f>
        <v>2182.289462951223</v>
      </c>
      <c r="N12" s="143">
        <f ca="1">IF(COUNTA(CollegeLoans18[[#This Row],[Loan Amount]:[Length (Yrs)]])&lt;&gt;4,"",PMT(CollegeLoans18[[#This Row],[Annual Interest Rate]]/12,CollegeLoans18[[#This Row],[Length (Yrs)]]*12,-CollegeLoans18[[#This Row],[Loan Amount]],0,0))</f>
        <v>84.852412191260186</v>
      </c>
      <c r="O12" s="144">
        <f ca="1">IFERROR(CollegeLoans18[[#This Row],[Scheduled Payment]]*12,"")</f>
        <v>1018.2289462951222</v>
      </c>
      <c r="P12" s="81"/>
    </row>
    <row r="13" spans="2:16">
      <c r="B13" s="81"/>
      <c r="C13" s="135"/>
      <c r="D13" s="136"/>
      <c r="E13" s="137"/>
      <c r="F13" s="138"/>
      <c r="G13" s="127"/>
      <c r="H13" s="139"/>
      <c r="I13" s="140"/>
      <c r="J13" s="141" t="str">
        <f>IF(AND(CollegeLoans18[[#This Row],[Beginning Date]]&gt;0,CollegeLoans18[[#This Row],[Length (Yrs)]]&gt;0),EDATE(CollegeLoans18[[#This Row],[Beginning Date]],CollegeLoans18[[#This Row],[Length (Yrs)]]*12),"")</f>
        <v/>
      </c>
      <c r="K13" s="131"/>
      <c r="L13" s="142" t="str">
        <f ca="1">IFERROR(IF(AND(LoanStartLToday,COUNT(CollegeLoans18[[#This Row],[Loan Amount]:[Length (Yrs)]])=4,CollegeLoans18[[#This Row],[Beginning Date]]&lt;=TODAY()),PMT(CollegeLoans18[[#This Row],[Annual Interest Rate]]/12,CollegeLoans18[[#This Row],[Length (Yrs)]]*12,-CollegeLoans18[[#This Row],[Loan Amount]],0,0),""),0)</f>
        <v/>
      </c>
      <c r="M13" s="143" t="str">
        <f>IFERROR((CollegeLoans18[[#This Row],[Scheduled Payment]]*(CollegeLoans18[[#This Row],[Length (Yrs)]]*12))-CollegeLoans18[[#This Row],[Loan Amount]],"")</f>
        <v/>
      </c>
      <c r="N13" s="143" t="str">
        <f>IF(COUNTA(CollegeLoans18[[#This Row],[Loan Amount]:[Length (Yrs)]])&lt;&gt;4,"",PMT(CollegeLoans18[[#This Row],[Annual Interest Rate]]/12,CollegeLoans18[[#This Row],[Length (Yrs)]]*12,-CollegeLoans18[[#This Row],[Loan Amount]],0,0))</f>
        <v/>
      </c>
      <c r="O13" s="144" t="str">
        <f>IFERROR(CollegeLoans18[[#This Row],[Scheduled Payment]]*12,"")</f>
        <v/>
      </c>
      <c r="P13" s="81"/>
    </row>
    <row r="14" spans="2:16">
      <c r="B14" s="81"/>
      <c r="C14" s="135"/>
      <c r="D14" s="136"/>
      <c r="E14" s="137"/>
      <c r="F14" s="138"/>
      <c r="G14" s="127"/>
      <c r="H14" s="139"/>
      <c r="I14" s="140"/>
      <c r="J14" s="141" t="str">
        <f>IF(AND(CollegeLoans18[[#This Row],[Beginning Date]]&gt;0,CollegeLoans18[[#This Row],[Length (Yrs)]]&gt;0),EDATE(CollegeLoans18[[#This Row],[Beginning Date]],CollegeLoans18[[#This Row],[Length (Yrs)]]*12),"")</f>
        <v/>
      </c>
      <c r="K14" s="131"/>
      <c r="L14" s="142" t="str">
        <f ca="1">IFERROR(IF(AND(LoanStartLToday,COUNT(CollegeLoans18[[#This Row],[Loan Amount]:[Length (Yrs)]])=4,CollegeLoans18[[#This Row],[Beginning Date]]&lt;=TODAY()),PMT(CollegeLoans18[[#This Row],[Annual Interest Rate]]/12,CollegeLoans18[[#This Row],[Length (Yrs)]]*12,-CollegeLoans18[[#This Row],[Loan Amount]],0,0),""),0)</f>
        <v/>
      </c>
      <c r="M14" s="143" t="str">
        <f>IFERROR((CollegeLoans18[[#This Row],[Scheduled Payment]]*(CollegeLoans18[[#This Row],[Length (Yrs)]]*12))-CollegeLoans18[[#This Row],[Loan Amount]],"")</f>
        <v/>
      </c>
      <c r="N14" s="143" t="str">
        <f>IF(COUNTA(CollegeLoans18[[#This Row],[Loan Amount]:[Length (Yrs)]])&lt;&gt;4,"",PMT(CollegeLoans18[[#This Row],[Annual Interest Rate]]/12,CollegeLoans18[[#This Row],[Length (Yrs)]]*12,-CollegeLoans18[[#This Row],[Loan Amount]],0,0))</f>
        <v/>
      </c>
      <c r="O14" s="144" t="str">
        <f>IFERROR(CollegeLoans18[[#This Row],[Scheduled Payment]]*12,"")</f>
        <v/>
      </c>
      <c r="P14" s="81"/>
    </row>
    <row r="15" spans="2:16">
      <c r="B15" s="81"/>
      <c r="C15" s="135"/>
      <c r="D15" s="136"/>
      <c r="E15" s="137"/>
      <c r="F15" s="138"/>
      <c r="G15" s="127"/>
      <c r="H15" s="139"/>
      <c r="I15" s="140"/>
      <c r="J15" s="141" t="str">
        <f>IF(AND(CollegeLoans18[[#This Row],[Beginning Date]]&gt;0,CollegeLoans18[[#This Row],[Length (Yrs)]]&gt;0),EDATE(CollegeLoans18[[#This Row],[Beginning Date]],CollegeLoans18[[#This Row],[Length (Yrs)]]*12),"")</f>
        <v/>
      </c>
      <c r="K15" s="131"/>
      <c r="L15" s="142" t="str">
        <f ca="1">IFERROR(IF(AND(LoanStartLToday,COUNT(CollegeLoans18[[#This Row],[Loan Amount]:[Length (Yrs)]])=4,CollegeLoans18[[#This Row],[Beginning Date]]&lt;=TODAY()),PMT(CollegeLoans18[[#This Row],[Annual Interest Rate]]/12,CollegeLoans18[[#This Row],[Length (Yrs)]]*12,-CollegeLoans18[[#This Row],[Loan Amount]],0,0),""),0)</f>
        <v/>
      </c>
      <c r="M15" s="143" t="str">
        <f>IFERROR((CollegeLoans18[[#This Row],[Scheduled Payment]]*(CollegeLoans18[[#This Row],[Length (Yrs)]]*12))-CollegeLoans18[[#This Row],[Loan Amount]],"")</f>
        <v/>
      </c>
      <c r="N15" s="143" t="str">
        <f>IF(COUNTA(CollegeLoans18[[#This Row],[Loan Amount]:[Length (Yrs)]])&lt;&gt;4,"",PMT(CollegeLoans18[[#This Row],[Annual Interest Rate]]/12,CollegeLoans18[[#This Row],[Length (Yrs)]]*12,-CollegeLoans18[[#This Row],[Loan Amount]],0,0))</f>
        <v/>
      </c>
      <c r="O15" s="144" t="str">
        <f>IFERROR(CollegeLoans18[[#This Row],[Scheduled Payment]]*12,"")</f>
        <v/>
      </c>
      <c r="P15" s="81"/>
    </row>
    <row r="16" spans="2:16">
      <c r="B16" s="81"/>
      <c r="C16" s="135"/>
      <c r="D16" s="136"/>
      <c r="E16" s="137"/>
      <c r="F16" s="138"/>
      <c r="G16" s="127"/>
      <c r="H16" s="139"/>
      <c r="I16" s="140"/>
      <c r="J16" s="141" t="str">
        <f>IF(AND(CollegeLoans18[[#This Row],[Beginning Date]]&gt;0,CollegeLoans18[[#This Row],[Length (Yrs)]]&gt;0),EDATE(CollegeLoans18[[#This Row],[Beginning Date]],CollegeLoans18[[#This Row],[Length (Yrs)]]*12),"")</f>
        <v/>
      </c>
      <c r="K16" s="131"/>
      <c r="L16" s="142" t="str">
        <f ca="1">IFERROR(IF(AND(LoanStartLToday,COUNT(CollegeLoans18[[#This Row],[Loan Amount]:[Length (Yrs)]])=4,CollegeLoans18[[#This Row],[Beginning Date]]&lt;=TODAY()),PMT(CollegeLoans18[[#This Row],[Annual Interest Rate]]/12,CollegeLoans18[[#This Row],[Length (Yrs)]]*12,-CollegeLoans18[[#This Row],[Loan Amount]],0,0),""),0)</f>
        <v/>
      </c>
      <c r="M16" s="143" t="str">
        <f>IFERROR((CollegeLoans18[[#This Row],[Scheduled Payment]]*(CollegeLoans18[[#This Row],[Length (Yrs)]]*12))-CollegeLoans18[[#This Row],[Loan Amount]],"")</f>
        <v/>
      </c>
      <c r="N16" s="143" t="str">
        <f>IF(COUNTA(CollegeLoans18[[#This Row],[Loan Amount]:[Length (Yrs)]])&lt;&gt;4,"",PMT(CollegeLoans18[[#This Row],[Annual Interest Rate]]/12,CollegeLoans18[[#This Row],[Length (Yrs)]]*12,-CollegeLoans18[[#This Row],[Loan Amount]],0,0))</f>
        <v/>
      </c>
      <c r="O16" s="144" t="str">
        <f>IFERROR(CollegeLoans18[[#This Row],[Scheduled Payment]]*12,"")</f>
        <v/>
      </c>
      <c r="P16" s="81"/>
    </row>
    <row r="17" spans="2:16">
      <c r="B17" s="81"/>
      <c r="C17" s="145" t="s">
        <v>167</v>
      </c>
      <c r="D17" s="146"/>
      <c r="E17" s="147">
        <f>SUBTOTAL(109,CollegeLoans18[Loan Amount])</f>
        <v>18000</v>
      </c>
      <c r="F17" s="148"/>
      <c r="G17" s="149"/>
      <c r="H17" s="150"/>
      <c r="I17" s="151"/>
      <c r="J17" s="152"/>
      <c r="K17" s="104"/>
      <c r="L17" s="153">
        <f ca="1">SUBTOTAL(109,CollegeLoans18[Current Monthly Payment])</f>
        <v>106.06551523907524</v>
      </c>
      <c r="M17" s="154">
        <f ca="1">SUBTOTAL(109,CollegeLoans18[Total Interest])</f>
        <v>4910.1512916402517</v>
      </c>
      <c r="N17" s="154">
        <f ca="1">SUBTOTAL(109,CollegeLoans18[Scheduled Payment])</f>
        <v>190.91792743033542</v>
      </c>
      <c r="O17" s="155">
        <f ca="1">SUBTOTAL(109,CollegeLoans18[Annual Payment])</f>
        <v>2291.015129164025</v>
      </c>
      <c r="P17" s="81"/>
    </row>
    <row r="18" spans="2:16">
      <c r="B18" s="81"/>
      <c r="C18" s="156" t="s">
        <v>168</v>
      </c>
      <c r="D18" s="157"/>
      <c r="E18" s="158">
        <f>AVERAGE(CollegeLoans18[Loan Amount])</f>
        <v>9000</v>
      </c>
      <c r="F18" s="159">
        <f>AVERAGE(CollegeLoans18[Annual Interest Rate])</f>
        <v>0.05</v>
      </c>
      <c r="G18" s="96"/>
      <c r="H18" s="160"/>
      <c r="I18" s="161"/>
      <c r="J18" s="162"/>
      <c r="K18" s="96"/>
      <c r="L18" s="163"/>
      <c r="M18" s="164">
        <f ca="1">AVERAGE(CollegeLoans18[Total Interest])</f>
        <v>2455.0756458201258</v>
      </c>
      <c r="N18" s="164"/>
      <c r="O18" s="165">
        <f ca="1">AVERAGE(CollegeLoans18[Annual Payment])</f>
        <v>1145.5075645820125</v>
      </c>
      <c r="P18" s="81"/>
    </row>
    <row r="19" spans="2:16">
      <c r="B19" s="81"/>
      <c r="C19" s="81"/>
      <c r="D19" s="166"/>
      <c r="E19" s="166"/>
      <c r="F19" s="166"/>
      <c r="G19" s="166"/>
      <c r="H19" s="166"/>
      <c r="I19" s="166"/>
      <c r="J19" s="166"/>
      <c r="K19" s="166"/>
      <c r="L19" s="166"/>
      <c r="M19" s="166"/>
      <c r="N19" s="166"/>
      <c r="O19" s="81"/>
      <c r="P19" s="81"/>
    </row>
    <row r="20" spans="2:16">
      <c r="B20" s="81"/>
      <c r="C20" s="81"/>
      <c r="D20" s="166"/>
      <c r="E20" s="166"/>
      <c r="F20" s="166"/>
      <c r="G20" s="166"/>
      <c r="H20" s="81"/>
      <c r="I20" s="166"/>
      <c r="J20" s="166"/>
      <c r="K20" s="166"/>
      <c r="L20" s="228" t="s">
        <v>169</v>
      </c>
      <c r="M20" s="224"/>
      <c r="N20" s="227" t="s">
        <v>170</v>
      </c>
      <c r="O20" s="224"/>
      <c r="P20" s="82"/>
    </row>
    <row r="21" spans="2:16">
      <c r="B21" s="81"/>
      <c r="C21" s="81"/>
      <c r="D21" s="81"/>
      <c r="E21" s="167"/>
      <c r="F21" s="167"/>
      <c r="G21" s="167"/>
      <c r="H21" s="81"/>
      <c r="I21" s="81"/>
      <c r="J21" s="81"/>
      <c r="K21" s="167"/>
      <c r="L21" s="223">
        <f ca="1">CollegeLoans18[[#Totals],[Loan Amount]]+CollegeLoans18[[#Totals],[Total Interest]]</f>
        <v>22910.15129164025</v>
      </c>
      <c r="M21" s="224"/>
      <c r="N21" s="225">
        <f>(EstimatedAnnualSalary/12)</f>
        <v>0</v>
      </c>
      <c r="O21" s="226"/>
      <c r="P21" s="168"/>
    </row>
    <row r="22" spans="2:16">
      <c r="B22" s="81"/>
      <c r="C22" s="167"/>
      <c r="D22" s="167"/>
      <c r="E22" s="167"/>
      <c r="F22" s="167"/>
      <c r="G22" s="167"/>
      <c r="H22" s="167"/>
      <c r="I22" s="167"/>
      <c r="J22" s="167"/>
      <c r="K22" s="167"/>
      <c r="L22" s="167"/>
      <c r="M22" s="167"/>
      <c r="N22" s="167"/>
      <c r="O22" s="93"/>
      <c r="P22" s="81"/>
    </row>
  </sheetData>
  <mergeCells count="10">
    <mergeCell ref="B1:P1"/>
    <mergeCell ref="L2:M2"/>
    <mergeCell ref="C2:J3"/>
    <mergeCell ref="L21:M21"/>
    <mergeCell ref="N21:O21"/>
    <mergeCell ref="N20:O20"/>
    <mergeCell ref="L20:M20"/>
    <mergeCell ref="L3:M3"/>
    <mergeCell ref="N2:O2"/>
    <mergeCell ref="N3:O3"/>
  </mergeCells>
  <dataValidations count="38">
    <dataValidation allowBlank="1" showInputMessage="1" showErrorMessage="1" prompt="Create a college loan calculator in this worksheet. Enter details in table starting in cell C15, estimated annual salary in cell K4, and date to start loan payback in cell N4." sqref="A1" xr:uid="{BF515ACD-1AF5-4B89-A388-38140F265475}"/>
    <dataValidation allowBlank="1" showInputMessage="1" showErrorMessage="1" prompt="Estimated monthly income after graduation is auto calculated in this cell" sqref="O22 N21" xr:uid="{00000000-0002-0000-0000-000026000000}"/>
    <dataValidation allowBlank="1" showInputMessage="1" showErrorMessage="1" prompt="Total consolidated loan payback is auto calculated in this cell" sqref="L21" xr:uid="{00000000-0002-0000-0000-000024000000}"/>
    <dataValidation allowBlank="1" showErrorMessage="1" prompt="Estimated Monthly Income After Graduation is auto calculated in cell at right" sqref="C22:N22 E21:G21 K21 N20:N21" xr:uid="{00000000-0002-0000-0000-000025000000}"/>
    <dataValidation allowBlank="1" showErrorMessage="1" prompt="Total Consolidated Loan Payback is auto calculated in cell at right" sqref="D19:N19 D20:G20 I20:L20 N20" xr:uid="{00000000-0002-0000-0000-000023000000}"/>
    <dataValidation allowBlank="1" showInputMessage="1" showErrorMessage="1" prompt="Enter estimated annual salary after graduation in this cell" sqref="K2:L2" xr:uid="{002FC76E-543C-B34B-B74D-BDDDDF0B58C5}"/>
    <dataValidation allowBlank="1" showInputMessage="1" showErrorMessage="1" prompt="Average annual payment amount is auto calculated in this cell. Total consolidated loan payback and estimated monthly income after graduation in cells below." sqref="O18" xr:uid="{00000000-0002-0000-0000-000022000000}"/>
    <dataValidation allowBlank="1" showInputMessage="1" showErrorMessage="1" prompt="Average Scheduled Payment chart is auto updated in this cell" sqref="N18" xr:uid="{00000000-0002-0000-0000-000021000000}"/>
    <dataValidation allowBlank="1" showInputMessage="1" showErrorMessage="1" prompt="Average total interest amount is auto calculated in this cell" sqref="M18" xr:uid="{00000000-0002-0000-0000-000020000000}"/>
    <dataValidation allowBlank="1" showInputMessage="1" showErrorMessage="1" prompt="Average annual interest rate is auto calculated in this cell" sqref="F18:G18" xr:uid="{00000000-0002-0000-0000-00001F000000}"/>
    <dataValidation allowBlank="1" showInputMessage="1" showErrorMessage="1" prompt="Average loan amount is auto calculated in this cell" sqref="E18" xr:uid="{00000000-0002-0000-0000-00001E000000}"/>
    <dataValidation allowBlank="1" showInputMessage="1" showErrorMessage="1" prompt="Averages of loan amount, annual interest rate, total interest amount, and annual payment are auto calculated, and scheduled payment chart is updated in cells at right." sqref="C18" xr:uid="{00000000-0002-0000-0000-00001D000000}"/>
    <dataValidation allowBlank="1" showErrorMessage="1" prompt="Annual Payment is auto calculated in this column under this heading. Averages are auto calculated below table in this column" sqref="O10" xr:uid="{00000000-0002-0000-0000-00001C000000}"/>
    <dataValidation allowBlank="1" showErrorMessage="1" prompt="Scheduled Payment is auto calculated in this column under this heading" sqref="N10" xr:uid="{00000000-0002-0000-0000-00001B000000}"/>
    <dataValidation allowBlank="1" showErrorMessage="1" prompt="Total Interest amount is auto calculated in this column under this heading" sqref="M10" xr:uid="{00000000-0002-0000-0000-00001A000000}"/>
    <dataValidation allowBlank="1" showErrorMessage="1" prompt="Current Monthly Payment is auto calculated in this column under this heading" sqref="L10" xr:uid="{00000000-0002-0000-0000-000019000000}"/>
    <dataValidation allowBlank="1" showErrorMessage="1" prompt="Payment Details are auto calculated in table columns below" sqref="L9:O9" xr:uid="{00000000-0002-0000-0000-000018000000}"/>
    <dataValidation allowBlank="1" showErrorMessage="1" prompt="Ending Date is auto updated in this column under this heading" sqref="J10:K10" xr:uid="{00000000-0002-0000-0000-000017000000}"/>
    <dataValidation allowBlank="1" showErrorMessage="1" prompt="Enter Length in years in this column under this heading" sqref="I10" xr:uid="{00000000-0002-0000-0000-000016000000}"/>
    <dataValidation allowBlank="1" showErrorMessage="1" prompt="Enter Beginning Date in this column under this heading" sqref="H10" xr:uid="{00000000-0002-0000-0000-000015000000}"/>
    <dataValidation allowBlank="1" showErrorMessage="1" prompt="Enter Loan Payback Data in table columns below" sqref="H9:K9" xr:uid="{00000000-0002-0000-0000-000014000000}"/>
    <dataValidation allowBlank="1" showErrorMessage="1" prompt="Enter Annual Interest Rate in this column under this heading" sqref="F10:G10" xr:uid="{00000000-0002-0000-0000-000013000000}"/>
    <dataValidation allowBlank="1" showErrorMessage="1" prompt="Enter Loan Amount in this column under this heading" sqref="E10" xr:uid="{00000000-0002-0000-0000-000012000000}"/>
    <dataValidation allowBlank="1" showErrorMessage="1" prompt="Enter Lender in this column under this heading" sqref="D10" xr:uid="{00000000-0002-0000-0000-000011000000}"/>
    <dataValidation allowBlank="1" showErrorMessage="1" prompt="Enter Loan No. in this column under this heading" sqref="C10" xr:uid="{00000000-0002-0000-0000-000010000000}"/>
    <dataValidation allowBlank="1" showErrorMessage="1" prompt="Enter General Loan Details in table columns below" sqref="C9:G9" xr:uid="{00000000-0002-0000-0000-00000F000000}"/>
    <dataValidation allowBlank="1" showInputMessage="1" showErrorMessage="1" prompt="Percentage of scheduled monthly income is auto calculated in this cell" sqref="O7" xr:uid="{00000000-0002-0000-0000-00000E000000}"/>
    <dataValidation allowBlank="1" showErrorMessage="1" prompt="Percentage of scheduled monthly income is auto calculated in cell at right" sqref="L7:N7" xr:uid="{00000000-0002-0000-0000-00000D000000}"/>
    <dataValidation allowBlank="1" showInputMessage="1" showErrorMessage="1" prompt="Your combined scheduled monthly payment is auto calculated in this cell" sqref="O6" xr:uid="{00000000-0002-0000-0000-00000C000000}"/>
    <dataValidation allowBlank="1" showErrorMessage="1" prompt="Your combined scheduled monthly payment is auto calculated in cell at right" sqref="L6:N6" xr:uid="{00000000-0002-0000-0000-00000B000000}"/>
    <dataValidation allowBlank="1" showInputMessage="1" showErrorMessage="1" prompt="Percentage of current monthly income is auto calculated in this cell" sqref="F7" xr:uid="{00000000-0002-0000-0000-00000A000000}"/>
    <dataValidation allowBlank="1" showErrorMessage="1" prompt="Percentage of current monthly income is auto calculated in cell at right" sqref="C7:E7" xr:uid="{00000000-0002-0000-0000-000009000000}"/>
    <dataValidation allowBlank="1" showInputMessage="1" showErrorMessage="1" prompt="Your combined current monthly payment is auto calculated in this cell" sqref="F6" xr:uid="{00000000-0002-0000-0000-000008000000}"/>
    <dataValidation allowBlank="1" showErrorMessage="1" prompt="Your combined current monthly payment is auto calculated in cell at right" sqref="C6:E6" xr:uid="{00000000-0002-0000-0000-000007000000}"/>
    <dataValidation allowBlank="1" showErrorMessage="1" prompt="Enter Date to Begin Paying Back Loans in cell above" sqref="N3:O3" xr:uid="{00000000-0002-0000-0000-000006000000}"/>
    <dataValidation allowBlank="1" showErrorMessage="1" prompt="Enter Date to Begin Paying Back Loans in this cell" sqref="N2:O2" xr:uid="{00000000-0002-0000-0000-000005000000}"/>
    <dataValidation operator="greaterThanOrEqual" allowBlank="1" showInputMessage="1" showErrorMessage="1" sqref="J11:M16" xr:uid="{00000000-0002-0000-0000-000001000000}"/>
    <dataValidation type="whole" operator="greaterThanOrEqual" allowBlank="1" showInputMessage="1" showErrorMessage="1" sqref="I11:I16" xr:uid="{00000000-0002-0000-0000-000000000000}">
      <formula1>0</formula1>
    </dataValidation>
  </dataValidations>
  <printOptions horizontalCentered="1"/>
  <pageMargins left="0.25" right="0.25" top="0.75" bottom="0.75" header="0.3" footer="0.3"/>
  <pageSetup scale="72" fitToHeight="0" orientation="landscape" r:id="rId1"/>
  <headerFooter differentFirst="1">
    <oddFooter>Page &amp;P of &amp;N</oddFooter>
  </headerFooter>
  <tableParts count="1">
    <tablePart r:id="rId2"/>
  </tableParts>
  <extLst>
    <ext xmlns:x14="http://schemas.microsoft.com/office/spreadsheetml/2009/9/main" uri="{05C60535-1F16-4fd2-B633-F4F36F0B64E0}">
      <x14:sparklineGroups xmlns:xm="http://schemas.microsoft.com/office/excel/2006/main">
        <x14:sparklineGroup manualMax="0" manualMin="0" type="column" displayEmptyCellsAs="gap" xr2:uid="{00000000-0003-0000-0000-000000000000}">
          <x14:colorSeries theme="0"/>
          <x14:colorNegative theme="5"/>
          <x14:colorAxis rgb="FF000000"/>
          <x14:colorMarkers theme="4" tint="-0.499984740745262"/>
          <x14:colorFirst theme="4" tint="0.39997558519241921"/>
          <x14:colorLast theme="4" tint="0.39997558519241921"/>
          <x14:colorHigh theme="4"/>
          <x14:colorLow theme="4"/>
          <x14:sparklines>
            <x14:sparkline>
              <xm:f>'Student Loan Calculator '!N11:N16</xm:f>
              <xm:sqref>N18</xm:sqref>
            </x14:sparkline>
            <x14:sparkline>
              <xm:f>'Student Loan Calculator '!L11:L16</xm:f>
              <xm:sqref>L18</xm:sqref>
            </x14:sparkline>
          </x14:sparklines>
        </x14:sparklineGroup>
      </x14:sparklineGroup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FF03D0-0C36-43A5-A5A8-B2C87349F9A9}">
  <sheetPr>
    <tabColor theme="4"/>
    <pageSetUpPr fitToPage="1"/>
  </sheetPr>
  <dimension ref="A1:P35"/>
  <sheetViews>
    <sheetView showGridLines="0" zoomScaleNormal="100" workbookViewId="0"/>
  </sheetViews>
  <sheetFormatPr defaultColWidth="10.69921875" defaultRowHeight="14.5"/>
  <cols>
    <col min="1" max="1" width="2" style="28" customWidth="1"/>
    <col min="2" max="2" width="32.19921875" style="28" customWidth="1"/>
    <col min="3" max="16" width="9.796875" style="28" customWidth="1"/>
    <col min="17" max="17" width="5.59765625" style="28" customWidth="1"/>
    <col min="18" max="16384" width="10.69921875" style="28"/>
  </cols>
  <sheetData>
    <row r="1" spans="1:16" ht="15" thickBot="1">
      <c r="A1" s="170"/>
      <c r="B1" s="171" t="s">
        <v>201</v>
      </c>
      <c r="C1" s="172"/>
      <c r="D1" s="172"/>
      <c r="E1" s="172"/>
      <c r="F1" s="172"/>
      <c r="G1" s="172"/>
      <c r="H1" s="172"/>
      <c r="I1" s="172"/>
      <c r="J1" s="172"/>
      <c r="K1" s="172"/>
      <c r="L1" s="172"/>
      <c r="M1" s="172"/>
      <c r="N1" s="172"/>
      <c r="O1" s="172"/>
      <c r="P1" s="172"/>
    </row>
    <row r="2" spans="1:16" ht="15.5" thickTop="1" thickBot="1">
      <c r="A2" s="170"/>
      <c r="B2" s="173"/>
      <c r="C2" s="174"/>
      <c r="D2" s="175"/>
      <c r="E2" s="175"/>
      <c r="F2" s="175"/>
      <c r="G2" s="175"/>
      <c r="H2" s="175"/>
      <c r="I2" s="175"/>
      <c r="J2" s="175"/>
      <c r="K2" s="175"/>
      <c r="L2" s="175"/>
      <c r="M2" s="175"/>
      <c r="N2" s="175"/>
      <c r="O2" s="175"/>
      <c r="P2" s="175"/>
    </row>
    <row r="3" spans="1:16">
      <c r="A3" s="170"/>
      <c r="B3" s="176" t="s">
        <v>200</v>
      </c>
      <c r="C3" s="177"/>
      <c r="D3" s="178"/>
      <c r="E3" s="170"/>
      <c r="F3" s="170"/>
      <c r="G3" s="170"/>
      <c r="H3" s="170"/>
      <c r="I3" s="170"/>
      <c r="J3" s="170"/>
      <c r="K3" s="170"/>
      <c r="L3" s="170"/>
      <c r="M3" s="170"/>
      <c r="N3" s="170"/>
      <c r="O3" s="170"/>
      <c r="P3" s="170"/>
    </row>
    <row r="4" spans="1:16">
      <c r="A4" s="170"/>
      <c r="B4" s="179" t="s">
        <v>2</v>
      </c>
      <c r="C4" s="180">
        <f>Income[[#Totals],[Total]]</f>
        <v>90000</v>
      </c>
      <c r="D4" s="178"/>
      <c r="E4" s="170"/>
      <c r="F4" s="170"/>
      <c r="G4" s="170"/>
      <c r="H4" s="170"/>
      <c r="I4" s="170"/>
      <c r="J4" s="170"/>
      <c r="K4" s="170"/>
      <c r="L4" s="170"/>
      <c r="M4" s="170"/>
      <c r="N4" s="170"/>
      <c r="O4" s="170"/>
      <c r="P4" s="170"/>
    </row>
    <row r="5" spans="1:16">
      <c r="A5" s="170"/>
      <c r="B5" s="181" t="s">
        <v>199</v>
      </c>
      <c r="C5" s="182">
        <f>Expenses[[#Totals],[Total]]</f>
        <v>64788</v>
      </c>
      <c r="D5" s="178"/>
      <c r="E5" s="170"/>
      <c r="F5" s="170"/>
      <c r="G5" s="170"/>
      <c r="H5" s="170"/>
      <c r="I5" s="170"/>
      <c r="J5" s="170"/>
      <c r="K5" s="170"/>
      <c r="L5" s="170"/>
      <c r="M5" s="170"/>
      <c r="N5" s="170"/>
      <c r="O5" s="170"/>
      <c r="P5" s="170"/>
    </row>
    <row r="6" spans="1:16">
      <c r="A6" s="170"/>
      <c r="B6" s="170"/>
      <c r="C6" s="183"/>
      <c r="D6" s="178"/>
      <c r="E6" s="170"/>
      <c r="F6" s="170"/>
      <c r="G6" s="170"/>
      <c r="H6" s="170"/>
      <c r="I6" s="170"/>
      <c r="J6" s="170"/>
      <c r="K6" s="170"/>
      <c r="L6" s="170"/>
      <c r="M6" s="170"/>
      <c r="N6" s="170"/>
      <c r="O6" s="170"/>
      <c r="P6" s="170"/>
    </row>
    <row r="7" spans="1:16">
      <c r="A7" s="170"/>
      <c r="B7" s="176" t="s">
        <v>198</v>
      </c>
      <c r="C7" s="184">
        <f>C4-C5</f>
        <v>25212</v>
      </c>
      <c r="D7" s="178"/>
      <c r="E7" s="170"/>
      <c r="F7" s="170"/>
      <c r="G7" s="170"/>
      <c r="H7" s="170"/>
      <c r="I7" s="170"/>
      <c r="J7" s="170"/>
      <c r="K7" s="170"/>
      <c r="L7" s="170"/>
      <c r="M7" s="170"/>
      <c r="N7" s="170"/>
      <c r="O7" s="170"/>
      <c r="P7" s="170"/>
    </row>
    <row r="8" spans="1:16">
      <c r="A8" s="170"/>
      <c r="B8" s="170"/>
      <c r="C8" s="183"/>
      <c r="D8" s="170"/>
      <c r="E8" s="170"/>
      <c r="F8" s="170"/>
      <c r="G8" s="170"/>
      <c r="H8" s="170"/>
      <c r="I8" s="170"/>
      <c r="J8" s="170"/>
      <c r="K8" s="170"/>
      <c r="L8" s="170"/>
      <c r="M8" s="170"/>
      <c r="N8" s="170"/>
      <c r="O8" s="170"/>
      <c r="P8" s="170"/>
    </row>
    <row r="9" spans="1:16">
      <c r="A9" s="170"/>
      <c r="B9" s="176" t="s">
        <v>197</v>
      </c>
      <c r="C9" s="185">
        <f>C5/C4</f>
        <v>0.71986666666666665</v>
      </c>
      <c r="D9" s="170"/>
      <c r="E9" s="170"/>
      <c r="F9" s="170"/>
      <c r="G9" s="170"/>
      <c r="H9" s="170"/>
      <c r="I9" s="170"/>
      <c r="J9" s="170"/>
      <c r="K9" s="170"/>
      <c r="L9" s="170"/>
      <c r="M9" s="170"/>
      <c r="N9" s="170"/>
      <c r="O9" s="170"/>
      <c r="P9" s="170"/>
    </row>
    <row r="10" spans="1:16">
      <c r="A10" s="170"/>
      <c r="B10" s="170"/>
      <c r="C10" s="183"/>
      <c r="D10" s="170"/>
      <c r="E10" s="170"/>
      <c r="F10" s="170"/>
      <c r="G10" s="170"/>
      <c r="H10" s="170"/>
      <c r="I10" s="170"/>
      <c r="J10" s="170"/>
      <c r="K10" s="170"/>
      <c r="L10" s="170"/>
      <c r="M10" s="170"/>
      <c r="N10" s="170"/>
      <c r="O10" s="170"/>
      <c r="P10" s="170"/>
    </row>
    <row r="11" spans="1:16">
      <c r="A11" s="170"/>
      <c r="B11" s="186" t="s">
        <v>196</v>
      </c>
      <c r="C11" s="187"/>
      <c r="D11" s="187"/>
      <c r="E11" s="187"/>
      <c r="F11" s="187"/>
      <c r="G11" s="187"/>
      <c r="H11" s="187"/>
      <c r="I11" s="187"/>
      <c r="J11" s="187"/>
      <c r="K11" s="187"/>
      <c r="L11" s="187"/>
      <c r="M11" s="187"/>
      <c r="N11" s="187"/>
      <c r="O11" s="187"/>
      <c r="P11" s="187"/>
    </row>
    <row r="12" spans="1:16">
      <c r="A12" s="170"/>
      <c r="B12" s="188" t="s">
        <v>191</v>
      </c>
      <c r="C12" s="188" t="s">
        <v>190</v>
      </c>
      <c r="D12" s="170" t="s">
        <v>189</v>
      </c>
      <c r="E12" s="170" t="s">
        <v>188</v>
      </c>
      <c r="F12" s="170" t="s">
        <v>187</v>
      </c>
      <c r="G12" s="170" t="s">
        <v>186</v>
      </c>
      <c r="H12" s="170" t="s">
        <v>185</v>
      </c>
      <c r="I12" s="170" t="s">
        <v>184</v>
      </c>
      <c r="J12" s="170" t="s">
        <v>183</v>
      </c>
      <c r="K12" s="170" t="s">
        <v>182</v>
      </c>
      <c r="L12" s="170" t="s">
        <v>181</v>
      </c>
      <c r="M12" s="170" t="s">
        <v>180</v>
      </c>
      <c r="N12" s="170" t="s">
        <v>179</v>
      </c>
      <c r="O12" s="170" t="s">
        <v>173</v>
      </c>
      <c r="P12" s="170" t="s">
        <v>178</v>
      </c>
    </row>
    <row r="13" spans="1:16">
      <c r="A13" s="170"/>
      <c r="B13" s="170" t="s">
        <v>195</v>
      </c>
      <c r="C13" s="189">
        <v>4000</v>
      </c>
      <c r="D13" s="189">
        <v>4000</v>
      </c>
      <c r="E13" s="189">
        <v>4000</v>
      </c>
      <c r="F13" s="189">
        <v>4000</v>
      </c>
      <c r="G13" s="189">
        <v>4000</v>
      </c>
      <c r="H13" s="189">
        <v>4000</v>
      </c>
      <c r="I13" s="189">
        <v>4000</v>
      </c>
      <c r="J13" s="189">
        <v>4000</v>
      </c>
      <c r="K13" s="189">
        <v>4000</v>
      </c>
      <c r="L13" s="189">
        <v>4000</v>
      </c>
      <c r="M13" s="189">
        <v>4000</v>
      </c>
      <c r="N13" s="189">
        <v>4000</v>
      </c>
      <c r="O13" s="189">
        <f>SUM(Income[[#This Row],[Jan]:[Dec]])</f>
        <v>48000</v>
      </c>
      <c r="P13" s="189">
        <f>AVERAGE(Income[[#This Row],[Jan]:[Dec]])</f>
        <v>4000</v>
      </c>
    </row>
    <row r="14" spans="1:16">
      <c r="A14" s="170"/>
      <c r="B14" s="170" t="s">
        <v>194</v>
      </c>
      <c r="C14" s="189">
        <v>3500</v>
      </c>
      <c r="D14" s="189">
        <v>3500</v>
      </c>
      <c r="E14" s="189">
        <v>3500</v>
      </c>
      <c r="F14" s="189">
        <v>3500</v>
      </c>
      <c r="G14" s="189">
        <v>3500</v>
      </c>
      <c r="H14" s="189">
        <v>3500</v>
      </c>
      <c r="I14" s="189">
        <v>3500</v>
      </c>
      <c r="J14" s="189">
        <v>3500</v>
      </c>
      <c r="K14" s="189">
        <v>3500</v>
      </c>
      <c r="L14" s="189">
        <v>3500</v>
      </c>
      <c r="M14" s="189">
        <v>3500</v>
      </c>
      <c r="N14" s="189">
        <v>3500</v>
      </c>
      <c r="O14" s="189">
        <f>SUM(Income[[#This Row],[Jan]:[Dec]])</f>
        <v>42000</v>
      </c>
      <c r="P14" s="189">
        <f>AVERAGE(Income[[#This Row],[Jan]:[Dec]])</f>
        <v>3500</v>
      </c>
    </row>
    <row r="15" spans="1:16">
      <c r="A15" s="170"/>
      <c r="B15" s="170" t="s">
        <v>193</v>
      </c>
      <c r="C15" s="189">
        <v>0</v>
      </c>
      <c r="D15" s="170"/>
      <c r="E15" s="170"/>
      <c r="F15" s="170"/>
      <c r="G15" s="170"/>
      <c r="H15" s="170"/>
      <c r="I15" s="170"/>
      <c r="J15" s="170"/>
      <c r="K15" s="170"/>
      <c r="L15" s="170"/>
      <c r="M15" s="170"/>
      <c r="N15" s="170"/>
      <c r="O15" s="189">
        <f>SUM(Income[[#This Row],[Jan]:[Dec]])</f>
        <v>0</v>
      </c>
      <c r="P15" s="189">
        <f>AVERAGE(Income[[#This Row],[Jan]:[Dec]])</f>
        <v>0</v>
      </c>
    </row>
    <row r="16" spans="1:16">
      <c r="A16" s="170"/>
      <c r="B16" s="170" t="s">
        <v>19</v>
      </c>
      <c r="C16" s="189">
        <v>0</v>
      </c>
      <c r="D16" s="170"/>
      <c r="E16" s="170"/>
      <c r="F16" s="170"/>
      <c r="G16" s="170"/>
      <c r="H16" s="170"/>
      <c r="I16" s="170"/>
      <c r="J16" s="170"/>
      <c r="K16" s="170"/>
      <c r="L16" s="170"/>
      <c r="M16" s="170"/>
      <c r="N16" s="170"/>
      <c r="O16" s="189">
        <f>SUM(Income[[#This Row],[Jan]:[Dec]])</f>
        <v>0</v>
      </c>
      <c r="P16" s="189">
        <f>AVERAGE(Income[[#This Row],[Jan]:[Dec]])</f>
        <v>0</v>
      </c>
    </row>
    <row r="17" spans="1:16">
      <c r="A17" s="170"/>
      <c r="B17" s="190" t="s">
        <v>173</v>
      </c>
      <c r="C17" s="191">
        <f>SUBTOTAL(109,Income[Jan])</f>
        <v>7500</v>
      </c>
      <c r="D17" s="191">
        <f>SUBTOTAL(109,Income[Feb])</f>
        <v>7500</v>
      </c>
      <c r="E17" s="191">
        <f>SUBTOTAL(109,Income[Mar])</f>
        <v>7500</v>
      </c>
      <c r="F17" s="191">
        <f>SUBTOTAL(109,Income[Apr])</f>
        <v>7500</v>
      </c>
      <c r="G17" s="191">
        <f>SUBTOTAL(109,Income[May])</f>
        <v>7500</v>
      </c>
      <c r="H17" s="191">
        <f>SUBTOTAL(109,Income[Jun])</f>
        <v>7500</v>
      </c>
      <c r="I17" s="191">
        <f>SUBTOTAL(109,Income[Jul])</f>
        <v>7500</v>
      </c>
      <c r="J17" s="191">
        <f>SUBTOTAL(109,Income[Aug])</f>
        <v>7500</v>
      </c>
      <c r="K17" s="191">
        <f>SUBTOTAL(109,Income[Sep])</f>
        <v>7500</v>
      </c>
      <c r="L17" s="191">
        <f>SUBTOTAL(109,Income[Oct])</f>
        <v>7500</v>
      </c>
      <c r="M17" s="191">
        <f>SUBTOTAL(109,Income[Nov])</f>
        <v>7500</v>
      </c>
      <c r="N17" s="191">
        <f>SUBTOTAL(109,Income[Dec])</f>
        <v>7500</v>
      </c>
      <c r="O17" s="191">
        <f>SUBTOTAL(109,Income[Total])</f>
        <v>90000</v>
      </c>
      <c r="P17" s="191">
        <f>SUBTOTAL(101,Income[Average])</f>
        <v>1875</v>
      </c>
    </row>
    <row r="18" spans="1:16">
      <c r="A18" s="170"/>
      <c r="B18" s="170"/>
      <c r="C18" s="170"/>
      <c r="D18" s="170"/>
      <c r="E18" s="170"/>
      <c r="F18" s="170"/>
      <c r="G18" s="170"/>
      <c r="H18" s="170"/>
      <c r="I18" s="170"/>
      <c r="J18" s="170"/>
      <c r="K18" s="170"/>
      <c r="L18" s="170"/>
      <c r="M18" s="170"/>
      <c r="N18" s="170"/>
      <c r="O18" s="170"/>
      <c r="P18" s="170"/>
    </row>
    <row r="19" spans="1:16">
      <c r="A19" s="170"/>
      <c r="B19" s="186" t="s">
        <v>192</v>
      </c>
      <c r="C19" s="187"/>
      <c r="D19" s="187"/>
      <c r="E19" s="187"/>
      <c r="F19" s="187"/>
      <c r="G19" s="187"/>
      <c r="H19" s="187"/>
      <c r="I19" s="187"/>
      <c r="J19" s="187"/>
      <c r="K19" s="187"/>
      <c r="L19" s="187"/>
      <c r="M19" s="187"/>
      <c r="N19" s="187"/>
      <c r="O19" s="187"/>
      <c r="P19" s="187"/>
    </row>
    <row r="20" spans="1:16">
      <c r="A20" s="170"/>
      <c r="B20" s="188" t="s">
        <v>191</v>
      </c>
      <c r="C20" s="188" t="s">
        <v>190</v>
      </c>
      <c r="D20" s="170" t="s">
        <v>189</v>
      </c>
      <c r="E20" s="170" t="s">
        <v>188</v>
      </c>
      <c r="F20" s="170" t="s">
        <v>187</v>
      </c>
      <c r="G20" s="170" t="s">
        <v>186</v>
      </c>
      <c r="H20" s="170" t="s">
        <v>185</v>
      </c>
      <c r="I20" s="170" t="s">
        <v>184</v>
      </c>
      <c r="J20" s="170" t="s">
        <v>183</v>
      </c>
      <c r="K20" s="170" t="s">
        <v>182</v>
      </c>
      <c r="L20" s="170" t="s">
        <v>181</v>
      </c>
      <c r="M20" s="170" t="s">
        <v>180</v>
      </c>
      <c r="N20" s="170" t="s">
        <v>179</v>
      </c>
      <c r="O20" s="170" t="s">
        <v>173</v>
      </c>
      <c r="P20" s="170" t="s">
        <v>178</v>
      </c>
    </row>
    <row r="21" spans="1:16">
      <c r="A21" s="170"/>
      <c r="B21" s="170" t="s">
        <v>95</v>
      </c>
      <c r="C21" s="189">
        <v>1236</v>
      </c>
      <c r="D21" s="189">
        <v>1236</v>
      </c>
      <c r="E21" s="189">
        <v>1236</v>
      </c>
      <c r="F21" s="189">
        <v>1236</v>
      </c>
      <c r="G21" s="189">
        <v>1236</v>
      </c>
      <c r="H21" s="189">
        <v>1236</v>
      </c>
      <c r="I21" s="189">
        <v>1236</v>
      </c>
      <c r="J21" s="189">
        <v>1236</v>
      </c>
      <c r="K21" s="189">
        <v>1236</v>
      </c>
      <c r="L21" s="189">
        <v>1236</v>
      </c>
      <c r="M21" s="189">
        <v>1236</v>
      </c>
      <c r="N21" s="189">
        <v>1236</v>
      </c>
      <c r="O21" s="189">
        <f>SUM(Expenses[[#This Row],[Jan]:[Dec]])</f>
        <v>14832</v>
      </c>
      <c r="P21" s="189">
        <f>AVERAGE(Expenses[[#This Row],[Jan]:[Dec]])</f>
        <v>1236</v>
      </c>
    </row>
    <row r="22" spans="1:16">
      <c r="A22" s="170"/>
      <c r="B22" s="170" t="s">
        <v>177</v>
      </c>
      <c r="C22" s="189">
        <v>1360</v>
      </c>
      <c r="D22" s="189">
        <v>1360</v>
      </c>
      <c r="E22" s="189">
        <v>1360</v>
      </c>
      <c r="F22" s="189">
        <v>1360</v>
      </c>
      <c r="G22" s="189">
        <v>1360</v>
      </c>
      <c r="H22" s="189">
        <v>1360</v>
      </c>
      <c r="I22" s="189">
        <v>1360</v>
      </c>
      <c r="J22" s="189">
        <v>1360</v>
      </c>
      <c r="K22" s="189">
        <v>1360</v>
      </c>
      <c r="L22" s="189">
        <v>1360</v>
      </c>
      <c r="M22" s="189">
        <v>1360</v>
      </c>
      <c r="N22" s="189">
        <v>1360</v>
      </c>
      <c r="O22" s="189">
        <f>SUM(Expenses[[#This Row],[Jan]:[Dec]])</f>
        <v>16320</v>
      </c>
      <c r="P22" s="189">
        <f>AVERAGE(Expenses[[#This Row],[Jan]:[Dec]])</f>
        <v>1360</v>
      </c>
    </row>
    <row r="23" spans="1:16">
      <c r="A23" s="170"/>
      <c r="B23" s="170" t="s">
        <v>26</v>
      </c>
      <c r="C23" s="189">
        <v>432</v>
      </c>
      <c r="D23" s="189">
        <v>432</v>
      </c>
      <c r="E23" s="189">
        <v>432</v>
      </c>
      <c r="F23" s="189">
        <v>432</v>
      </c>
      <c r="G23" s="189">
        <v>432</v>
      </c>
      <c r="H23" s="189">
        <v>432</v>
      </c>
      <c r="I23" s="189">
        <v>432</v>
      </c>
      <c r="J23" s="189">
        <v>432</v>
      </c>
      <c r="K23" s="189">
        <v>432</v>
      </c>
      <c r="L23" s="189">
        <v>432</v>
      </c>
      <c r="M23" s="189">
        <v>432</v>
      </c>
      <c r="N23" s="189">
        <v>432</v>
      </c>
      <c r="O23" s="189">
        <f>SUM(Expenses[[#This Row],[Jan]:[Dec]])</f>
        <v>5184</v>
      </c>
      <c r="P23" s="189">
        <f>AVERAGE(Expenses[[#This Row],[Jan]:[Dec]])</f>
        <v>432</v>
      </c>
    </row>
    <row r="24" spans="1:16">
      <c r="A24" s="170"/>
      <c r="B24" s="170" t="s">
        <v>45</v>
      </c>
      <c r="C24" s="189">
        <v>826</v>
      </c>
      <c r="D24" s="189">
        <v>826</v>
      </c>
      <c r="E24" s="189">
        <v>826</v>
      </c>
      <c r="F24" s="189">
        <v>826</v>
      </c>
      <c r="G24" s="189">
        <v>826</v>
      </c>
      <c r="H24" s="189">
        <v>826</v>
      </c>
      <c r="I24" s="189">
        <v>826</v>
      </c>
      <c r="J24" s="189">
        <v>826</v>
      </c>
      <c r="K24" s="189">
        <v>826</v>
      </c>
      <c r="L24" s="189">
        <v>826</v>
      </c>
      <c r="M24" s="189">
        <v>826</v>
      </c>
      <c r="N24" s="189">
        <v>826</v>
      </c>
      <c r="O24" s="189">
        <f>SUM(Expenses[[#This Row],[Jan]:[Dec]])</f>
        <v>9912</v>
      </c>
      <c r="P24" s="189">
        <f>AVERAGE(Expenses[[#This Row],[Jan]:[Dec]])</f>
        <v>826</v>
      </c>
    </row>
    <row r="25" spans="1:16">
      <c r="A25" s="170"/>
      <c r="B25" s="170" t="s">
        <v>101</v>
      </c>
      <c r="C25" s="189">
        <v>0</v>
      </c>
      <c r="D25" s="189">
        <v>0</v>
      </c>
      <c r="E25" s="189">
        <v>0</v>
      </c>
      <c r="F25" s="189">
        <v>0</v>
      </c>
      <c r="G25" s="189">
        <v>0</v>
      </c>
      <c r="H25" s="189">
        <v>0</v>
      </c>
      <c r="I25" s="189">
        <v>0</v>
      </c>
      <c r="J25" s="189">
        <v>0</v>
      </c>
      <c r="K25" s="189">
        <v>0</v>
      </c>
      <c r="L25" s="189">
        <v>0</v>
      </c>
      <c r="M25" s="189">
        <v>0</v>
      </c>
      <c r="N25" s="189">
        <v>0</v>
      </c>
      <c r="O25" s="189">
        <f>SUM(Expenses[[#This Row],[Jan]:[Dec]])</f>
        <v>0</v>
      </c>
      <c r="P25" s="189">
        <f>AVERAGE(Expenses[[#This Row],[Jan]:[Dec]])</f>
        <v>0</v>
      </c>
    </row>
    <row r="26" spans="1:16">
      <c r="A26" s="170"/>
      <c r="B26" s="170" t="s">
        <v>103</v>
      </c>
      <c r="C26" s="189">
        <v>410</v>
      </c>
      <c r="D26" s="189">
        <v>410</v>
      </c>
      <c r="E26" s="189">
        <v>410</v>
      </c>
      <c r="F26" s="189">
        <v>410</v>
      </c>
      <c r="G26" s="189">
        <v>410</v>
      </c>
      <c r="H26" s="189">
        <v>410</v>
      </c>
      <c r="I26" s="189">
        <v>410</v>
      </c>
      <c r="J26" s="189">
        <v>410</v>
      </c>
      <c r="K26" s="189">
        <v>410</v>
      </c>
      <c r="L26" s="189">
        <v>410</v>
      </c>
      <c r="M26" s="189">
        <v>410</v>
      </c>
      <c r="N26" s="189">
        <v>410</v>
      </c>
      <c r="O26" s="189">
        <f>SUM(Expenses[[#This Row],[Jan]:[Dec]])</f>
        <v>4920</v>
      </c>
      <c r="P26" s="189">
        <f>AVERAGE(Expenses[[#This Row],[Jan]:[Dec]])</f>
        <v>410</v>
      </c>
    </row>
    <row r="27" spans="1:16">
      <c r="A27" s="170"/>
      <c r="B27" s="170" t="s">
        <v>176</v>
      </c>
      <c r="C27" s="189">
        <v>135</v>
      </c>
      <c r="D27" s="189">
        <v>135</v>
      </c>
      <c r="E27" s="189">
        <v>135</v>
      </c>
      <c r="F27" s="189">
        <v>135</v>
      </c>
      <c r="G27" s="189">
        <v>135</v>
      </c>
      <c r="H27" s="189">
        <v>135</v>
      </c>
      <c r="I27" s="189">
        <v>135</v>
      </c>
      <c r="J27" s="189">
        <v>135</v>
      </c>
      <c r="K27" s="189">
        <v>135</v>
      </c>
      <c r="L27" s="189">
        <v>135</v>
      </c>
      <c r="M27" s="189">
        <v>135</v>
      </c>
      <c r="N27" s="189">
        <v>135</v>
      </c>
      <c r="O27" s="189">
        <f>SUM(Expenses[[#This Row],[Jan]:[Dec]])</f>
        <v>1620</v>
      </c>
      <c r="P27" s="189">
        <f>AVERAGE(Expenses[[#This Row],[Jan]:[Dec]])</f>
        <v>135</v>
      </c>
    </row>
    <row r="28" spans="1:16">
      <c r="A28" s="170"/>
      <c r="B28" s="170" t="s">
        <v>98</v>
      </c>
      <c r="C28" s="189">
        <v>600</v>
      </c>
      <c r="D28" s="189">
        <v>600</v>
      </c>
      <c r="E28" s="189">
        <v>600</v>
      </c>
      <c r="F28" s="189">
        <v>600</v>
      </c>
      <c r="G28" s="189">
        <v>600</v>
      </c>
      <c r="H28" s="189">
        <v>600</v>
      </c>
      <c r="I28" s="189">
        <v>600</v>
      </c>
      <c r="J28" s="189">
        <v>600</v>
      </c>
      <c r="K28" s="189">
        <v>600</v>
      </c>
      <c r="L28" s="189">
        <v>600</v>
      </c>
      <c r="M28" s="189">
        <v>600</v>
      </c>
      <c r="N28" s="189">
        <v>600</v>
      </c>
      <c r="O28" s="189">
        <f>SUM(Expenses[[#This Row],[Jan]:[Dec]])</f>
        <v>7200</v>
      </c>
      <c r="P28" s="189">
        <f>AVERAGE(Expenses[[#This Row],[Jan]:[Dec]])</f>
        <v>600</v>
      </c>
    </row>
    <row r="29" spans="1:16">
      <c r="A29" s="170"/>
      <c r="B29" s="170" t="s">
        <v>99</v>
      </c>
      <c r="C29" s="189">
        <v>200</v>
      </c>
      <c r="D29" s="189">
        <v>200</v>
      </c>
      <c r="E29" s="189">
        <v>200</v>
      </c>
      <c r="F29" s="189">
        <v>200</v>
      </c>
      <c r="G29" s="189">
        <v>200</v>
      </c>
      <c r="H29" s="189">
        <v>200</v>
      </c>
      <c r="I29" s="189">
        <v>200</v>
      </c>
      <c r="J29" s="189">
        <v>200</v>
      </c>
      <c r="K29" s="189">
        <v>200</v>
      </c>
      <c r="L29" s="189">
        <v>200</v>
      </c>
      <c r="M29" s="189">
        <v>200</v>
      </c>
      <c r="N29" s="189">
        <v>200</v>
      </c>
      <c r="O29" s="189">
        <f>SUM(Expenses[[#This Row],[Jan]:[Dec]])</f>
        <v>2400</v>
      </c>
      <c r="P29" s="189">
        <f>AVERAGE(Expenses[[#This Row],[Jan]:[Dec]])</f>
        <v>200</v>
      </c>
    </row>
    <row r="30" spans="1:16">
      <c r="A30" s="170"/>
      <c r="B30" s="170" t="s">
        <v>175</v>
      </c>
      <c r="C30" s="189">
        <v>200</v>
      </c>
      <c r="D30" s="189">
        <v>200</v>
      </c>
      <c r="E30" s="189">
        <v>200</v>
      </c>
      <c r="F30" s="189">
        <v>200</v>
      </c>
      <c r="G30" s="189">
        <v>200</v>
      </c>
      <c r="H30" s="189">
        <v>200</v>
      </c>
      <c r="I30" s="189">
        <v>200</v>
      </c>
      <c r="J30" s="189">
        <v>200</v>
      </c>
      <c r="K30" s="189">
        <v>200</v>
      </c>
      <c r="L30" s="189">
        <v>200</v>
      </c>
      <c r="M30" s="189">
        <v>200</v>
      </c>
      <c r="N30" s="189">
        <v>200</v>
      </c>
      <c r="O30" s="189">
        <f>SUM(Expenses[[#This Row],[Jan]:[Dec]])</f>
        <v>2400</v>
      </c>
      <c r="P30" s="189">
        <f>AVERAGE(Expenses[[#This Row],[Jan]:[Dec]])</f>
        <v>200</v>
      </c>
    </row>
    <row r="31" spans="1:16">
      <c r="A31" s="170"/>
      <c r="B31" s="170" t="s">
        <v>174</v>
      </c>
      <c r="C31" s="189">
        <v>0</v>
      </c>
      <c r="D31" s="189">
        <v>0</v>
      </c>
      <c r="E31" s="189">
        <v>0</v>
      </c>
      <c r="F31" s="189">
        <v>0</v>
      </c>
      <c r="G31" s="189">
        <v>0</v>
      </c>
      <c r="H31" s="189">
        <v>0</v>
      </c>
      <c r="I31" s="189">
        <v>0</v>
      </c>
      <c r="J31" s="189">
        <v>0</v>
      </c>
      <c r="K31" s="189">
        <v>0</v>
      </c>
      <c r="L31" s="189">
        <v>0</v>
      </c>
      <c r="M31" s="189">
        <v>0</v>
      </c>
      <c r="N31" s="189">
        <v>0</v>
      </c>
      <c r="O31" s="189">
        <f>SUM(Expenses[[#This Row],[Jan]:[Dec]])</f>
        <v>0</v>
      </c>
      <c r="P31" s="189">
        <f>AVERAGE(Expenses[[#This Row],[Jan]:[Dec]])</f>
        <v>0</v>
      </c>
    </row>
    <row r="32" spans="1:16">
      <c r="A32" s="170"/>
      <c r="B32" s="170" t="s">
        <v>104</v>
      </c>
      <c r="C32" s="189">
        <v>0</v>
      </c>
      <c r="D32" s="189">
        <v>0</v>
      </c>
      <c r="E32" s="189">
        <v>0</v>
      </c>
      <c r="F32" s="189">
        <v>0</v>
      </c>
      <c r="G32" s="189">
        <v>0</v>
      </c>
      <c r="H32" s="189">
        <v>0</v>
      </c>
      <c r="I32" s="189">
        <v>0</v>
      </c>
      <c r="J32" s="189">
        <v>0</v>
      </c>
      <c r="K32" s="189">
        <v>0</v>
      </c>
      <c r="L32" s="189">
        <v>0</v>
      </c>
      <c r="M32" s="189">
        <v>0</v>
      </c>
      <c r="N32" s="189">
        <v>0</v>
      </c>
      <c r="O32" s="189">
        <f>SUM(Expenses[[#This Row],[Jan]:[Dec]])</f>
        <v>0</v>
      </c>
      <c r="P32" s="189">
        <f>AVERAGE(Expenses[[#This Row],[Jan]:[Dec]])</f>
        <v>0</v>
      </c>
    </row>
    <row r="33" spans="1:16">
      <c r="A33" s="170"/>
      <c r="B33" s="170" t="s">
        <v>19</v>
      </c>
      <c r="C33" s="192">
        <v>0</v>
      </c>
      <c r="D33" s="192">
        <v>0</v>
      </c>
      <c r="E33" s="192">
        <v>0</v>
      </c>
      <c r="F33" s="192">
        <v>0</v>
      </c>
      <c r="G33" s="192">
        <v>0</v>
      </c>
      <c r="H33" s="192">
        <v>0</v>
      </c>
      <c r="I33" s="192">
        <v>0</v>
      </c>
      <c r="J33" s="192">
        <v>0</v>
      </c>
      <c r="K33" s="192">
        <v>0</v>
      </c>
      <c r="L33" s="192">
        <v>0</v>
      </c>
      <c r="M33" s="192">
        <v>0</v>
      </c>
      <c r="N33" s="192">
        <v>0</v>
      </c>
      <c r="O33" s="189">
        <f>SUM(Expenses[[#This Row],[Jan]:[Dec]])</f>
        <v>0</v>
      </c>
      <c r="P33" s="189">
        <f>AVERAGE(Expenses[[#This Row],[Jan]:[Dec]])</f>
        <v>0</v>
      </c>
    </row>
    <row r="34" spans="1:16">
      <c r="A34" s="170"/>
      <c r="B34" s="190" t="s">
        <v>173</v>
      </c>
      <c r="C34" s="191">
        <f>SUBTOTAL(109,Expenses[Jan])</f>
        <v>5399</v>
      </c>
      <c r="D34" s="191">
        <f>SUBTOTAL(109,Expenses[Feb])</f>
        <v>5399</v>
      </c>
      <c r="E34" s="191">
        <f>SUBTOTAL(109,Expenses[Mar])</f>
        <v>5399</v>
      </c>
      <c r="F34" s="191">
        <f>SUBTOTAL(109,Expenses[Apr])</f>
        <v>5399</v>
      </c>
      <c r="G34" s="191">
        <f>SUBTOTAL(109,Expenses[May])</f>
        <v>5399</v>
      </c>
      <c r="H34" s="191">
        <f>SUBTOTAL(109,Expenses[Jun])</f>
        <v>5399</v>
      </c>
      <c r="I34" s="191">
        <f>SUBTOTAL(109,Expenses[Jul])</f>
        <v>5399</v>
      </c>
      <c r="J34" s="191">
        <f>SUBTOTAL(109,Expenses[Aug])</f>
        <v>5399</v>
      </c>
      <c r="K34" s="191">
        <f>SUBTOTAL(109,Expenses[Sep])</f>
        <v>5399</v>
      </c>
      <c r="L34" s="191">
        <f>SUBTOTAL(109,Expenses[Oct])</f>
        <v>5399</v>
      </c>
      <c r="M34" s="191">
        <f>SUBTOTAL(109,Expenses[Nov])</f>
        <v>5399</v>
      </c>
      <c r="N34" s="191">
        <f>SUBTOTAL(109,Expenses[Dec])</f>
        <v>5399</v>
      </c>
      <c r="O34" s="191">
        <f>SUBTOTAL(109,Expenses[Total])</f>
        <v>64788</v>
      </c>
      <c r="P34" s="191">
        <f>SUBTOTAL(101,Expenses[Average])</f>
        <v>415.30769230769232</v>
      </c>
    </row>
    <row r="35" spans="1:16" ht="17.649999999999999" customHeight="1"/>
  </sheetData>
  <dataValidations count="13">
    <dataValidation allowBlank="1" showInputMessage="1" showErrorMessage="1" prompt="Percentage of income spent is automatically calculated in this cell" sqref="C9" xr:uid="{5B0BB620-2E3C-47B4-9073-A157E7686EF5}"/>
    <dataValidation allowBlank="1" showInputMessage="1" showErrorMessage="1" prompt="Percentage of income spent is automatically calculated in cell to the right" sqref="B9" xr:uid="{9CD41BD3-B321-432C-A523-F75576B10754}"/>
    <dataValidation allowBlank="1" showInputMessage="1" showErrorMessage="1" prompt="Title of this worksheet is in this cell. Enter Monthly Income in Income table and Monthly Expenses in Expenses table" sqref="B1" xr:uid="{1797785A-52F5-43A6-9CAA-8E37AC066484}"/>
    <dataValidation allowBlank="1" showInputMessage="1" showErrorMessage="1" prompt="Enter Monthly Expense Items in this column under this heading" sqref="B20" xr:uid="{35829B6D-9AE6-417F-B139-89BCD1D3EAC8}"/>
    <dataValidation allowBlank="1" showInputMessage="1" showErrorMessage="1" prompt="Enter Amount in this column under this heading" sqref="C20 C12" xr:uid="{BF7067A3-798B-4D64-9DD4-4A4076087F61}"/>
    <dataValidation allowBlank="1" showInputMessage="1" showErrorMessage="1" prompt="Enter Monthly Income Items in this column under this heading" sqref="B12" xr:uid="{AF40F059-1EDB-4FB7-A177-3E9D5CDB6B4A}"/>
    <dataValidation allowBlank="1" showInputMessage="1" showErrorMessage="1" prompt="Balance amount is automatically calculated in this cell" sqref="C7" xr:uid="{9490848A-6F11-4166-ACF4-7F49C58C0FCA}"/>
    <dataValidation allowBlank="1" showInputMessage="1" showErrorMessage="1" prompt="Balance amount is automatically calculated in cell at right " sqref="B7" xr:uid="{121AAFE8-232A-4F2A-9793-4BDED66571EB}"/>
    <dataValidation allowBlank="1" showInputMessage="1" showErrorMessage="1" prompt="Total Monthly Income is automatically updated in this cell" sqref="C4" xr:uid="{C3E92B2C-5748-43E5-B26F-E7323AA578DF}"/>
    <dataValidation allowBlank="1" showInputMessage="1" showErrorMessage="1" prompt="Total Monthly Income is automatically updated in cell at right" sqref="B4" xr:uid="{7AA3950C-92AC-41A8-9DDB-31248048F7EF}"/>
    <dataValidation allowBlank="1" showInputMessage="1" showErrorMessage="1" prompt="Total Monthly Expenses are automatically updated in this cell" sqref="C5" xr:uid="{DAEF132B-84E4-40C6-AA80-2F9AEED9474F}"/>
    <dataValidation allowBlank="1" showInputMessage="1" showErrorMessage="1" prompt="Total Monthly Expenses are automatically updated in cell at right" sqref="B5" xr:uid="{704F04AA-25DB-4945-8B92-4A997AB98901}"/>
    <dataValidation allowBlank="1" showInputMessage="1" showErrorMessage="1" prompt="Total monthly income and Total monthly expenses are automatically updated in cells below" sqref="C3" xr:uid="{EA3F2DA6-B81E-45B4-8811-21D9AC2BEA76}"/>
  </dataValidations>
  <pageMargins left="0.7" right="0.7" top="0.75" bottom="0.75" header="0.3" footer="0.3"/>
  <pageSetup scale="49" fitToHeight="2" orientation="landscape" r:id="rId1"/>
  <drawing r:id="rId2"/>
  <tableParts count="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Image xmlns="71af3243-3dd4-4a8d-8c0d-dd76da1f02a5">
      <Url xsi:nil="true"/>
      <Description xsi:nil="true"/>
    </Image>
    <Status xmlns="71af3243-3dd4-4a8d-8c0d-dd76da1f02a5">Not started</Status>
    <Background xmlns="71af3243-3dd4-4a8d-8c0d-dd76da1f02a5">false</Background>
    <_ip_UnifiedCompliancePolicyProperties xmlns="http://schemas.microsoft.com/sharepoint/v3" xsi:nil="true"/>
    <ImageTagsTaxHTField xmlns="71af3243-3dd4-4a8d-8c0d-dd76da1f02a5">
      <Terms xmlns="http://schemas.microsoft.com/office/infopath/2007/PartnerControls"/>
    </ImageTagsTaxHTField>
    <TaxCatchAll xmlns="230e9df3-be65-4c73-a93b-d1236ebd677e" xsi:nil="true"/>
    <MediaServiceKeyPoints xmlns="71af3243-3dd4-4a8d-8c0d-dd76da1f02a5"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9F111ED35F8CC479449609E8A0923A6" ma:contentTypeVersion="26" ma:contentTypeDescription="Create a new document." ma:contentTypeScope="" ma:versionID="ac37c1753acd5e330d2062ccec26ea66">
  <xsd:schema xmlns:xsd="http://www.w3.org/2001/XMLSchema" xmlns:xs="http://www.w3.org/2001/XMLSchema" xmlns:p="http://schemas.microsoft.com/office/2006/metadata/properties" xmlns:ns1="http://schemas.microsoft.com/sharepoint/v3" xmlns:ns2="71af3243-3dd4-4a8d-8c0d-dd76da1f02a5" xmlns:ns3="16c05727-aa75-4e4a-9b5f-8a80a1165891" xmlns:ns4="230e9df3-be65-4c73-a93b-d1236ebd677e" targetNamespace="http://schemas.microsoft.com/office/2006/metadata/properties" ma:root="true" ma:fieldsID="3b340c7101c92c5120abd06486f94548" ns1:_="" ns2:_="" ns3:_="" ns4:_="">
    <xsd:import namespace="http://schemas.microsoft.com/sharepoint/v3"/>
    <xsd:import namespace="71af3243-3dd4-4a8d-8c0d-dd76da1f02a5"/>
    <xsd:import namespace="16c05727-aa75-4e4a-9b5f-8a80a1165891"/>
    <xsd:import namespace="230e9df3-be65-4c73-a93b-d1236ebd677e"/>
    <xsd:element name="properties">
      <xsd:complexType>
        <xsd:sequence>
          <xsd:element name="documentManagement">
            <xsd:complexType>
              <xsd:all>
                <xsd:element ref="ns2:Status" minOccurs="0"/>
                <xsd:element ref="ns2:Image" minOccurs="0"/>
                <xsd:element ref="ns2:MediaServiceMetadata" minOccurs="0"/>
                <xsd:element ref="ns2:MediaServiceFastMetadata" minOccurs="0"/>
                <xsd:element ref="ns2:MediaServiceOCR" minOccurs="0"/>
                <xsd:element ref="ns2:MediaServiceAutoTags" minOccurs="0"/>
                <xsd:element ref="ns2:MediaServiceEventHashCode" minOccurs="0"/>
                <xsd:element ref="ns2:MediaServiceGenerationTime" minOccurs="0"/>
                <xsd:element ref="ns3:SharedWithUsers" minOccurs="0"/>
                <xsd:element ref="ns3:SharedWithDetails" minOccurs="0"/>
                <xsd:element ref="ns2:MediaServiceAutoKeyPoints" minOccurs="0"/>
                <xsd:element ref="ns2:MediaServiceKeyPoints" minOccurs="0"/>
                <xsd:element ref="ns2:MediaServiceDateTaken" minOccurs="0"/>
                <xsd:element ref="ns1:_ip_UnifiedCompliancePolicyProperties" minOccurs="0"/>
                <xsd:element ref="ns1:_ip_UnifiedCompliancePolicyUIAction" minOccurs="0"/>
                <xsd:element ref="ns4:TaxCatchAll" minOccurs="0"/>
                <xsd:element ref="ns2:ImageTagsTaxHTField" minOccurs="0"/>
                <xsd:element ref="ns2:MediaServiceLocation" minOccurs="0"/>
                <xsd:element ref="ns2:MediaLengthInSeconds" minOccurs="0"/>
                <xsd:element ref="ns2:Background" minOccurs="0"/>
                <xsd:element ref="ns2:MediaServiceSearchProperties" minOccurs="0"/>
                <xsd:element ref="ns2:MediaServiceDoc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ma:readOnly="false">
      <xsd:simpleType>
        <xsd:restriction base="dms:Note"/>
      </xsd:simpleType>
    </xsd:element>
    <xsd:element name="_ip_UnifiedCompliancePolicyUIAction" ma:index="21" nillable="true" ma:displayName="Unified Compliance Policy UI Action" ma:hidden="true" ma:internalName="_ip_UnifiedCompliancePolicyUIAction"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1af3243-3dd4-4a8d-8c0d-dd76da1f02a5" elementFormDefault="qualified">
    <xsd:import namespace="http://schemas.microsoft.com/office/2006/documentManagement/types"/>
    <xsd:import namespace="http://schemas.microsoft.com/office/infopath/2007/PartnerControls"/>
    <xsd:element name="Status" ma:index="2" nillable="true" ma:displayName="Status" ma:default="Not started" ma:format="Dropdown" ma:internalName="Status" ma:readOnly="false">
      <xsd:simpleType>
        <xsd:restriction base="dms:Choice">
          <xsd:enumeration value="Not started"/>
          <xsd:enumeration value="In Progress"/>
          <xsd:enumeration value="Completed"/>
        </xsd:restriction>
      </xsd:simpleType>
    </xsd:element>
    <xsd:element name="Image" ma:index="3" nillable="true" ma:displayName="Image" ma:format="Image" ma:internalName="Image"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MediaServiceOCR" ma:hidden="true" ma:internalName="MediaServiceOCR" ma:readOnly="true">
      <xsd:simpleType>
        <xsd:restriction base="dms:Note"/>
      </xsd:simpleType>
    </xsd:element>
    <xsd:element name="MediaServiceAutoTags" ma:index="11" nillable="true" ma:displayName="MediaServiceAutoTags" ma:hidden="true" ma:internalName="MediaServiceAutoTags"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hidden="true" ma:internalName="MediaServiceKeyPoints" ma:readOnly="false">
      <xsd:simpleType>
        <xsd:restriction base="dms:Note"/>
      </xsd:simpleType>
    </xsd:element>
    <xsd:element name="MediaServiceDateTaken" ma:index="18" nillable="true" ma:displayName="MediaServiceDateTaken" ma:hidden="true" ma:internalName="MediaServiceDateTaken" ma:readOnly="true">
      <xsd:simpleType>
        <xsd:restriction base="dms:Text"/>
      </xsd:simpleType>
    </xsd:element>
    <xsd:element name="ImageTagsTaxHTField" ma:index="25" nillable="true" ma:taxonomy="true" ma:internalName="ImageTagsTaxHTField" ma:taxonomyFieldName="MediaServiceImageTags" ma:displayName="Image Tags" ma:readOnly="false" ma:fieldId="{5cf76f15-5ced-4ddc-b409-7134ff3c332f}" ma:taxonomyMulti="true" ma:sspId="e385fb40-52d4-4fae-9c5b-3e8ff8a5878e" ma:termSetId="09814cd3-568e-fe90-9814-8d621ff8fb84" ma:anchorId="fba54fb3-c3e1-fe81-a776-ca4b69148c4d" ma:open="true" ma:isKeyword="false">
      <xsd:complexType>
        <xsd:sequence>
          <xsd:element ref="pc:Terms" minOccurs="0" maxOccurs="1"/>
        </xsd:sequence>
      </xsd:complexType>
    </xsd:element>
    <xsd:element name="MediaServiceLocation" ma:index="26" nillable="true" ma:displayName="Location" ma:hidden="true" ma:internalName="MediaServiceLocation" ma:readOnly="true">
      <xsd:simpleType>
        <xsd:restriction base="dms:Text"/>
      </xsd:simpleType>
    </xsd:element>
    <xsd:element name="MediaLengthInSeconds" ma:index="27" nillable="true" ma:displayName="MediaLengthInSeconds" ma:hidden="true" ma:internalName="MediaLengthInSeconds" ma:readOnly="true">
      <xsd:simpleType>
        <xsd:restriction base="dms:Unknown"/>
      </xsd:simpleType>
    </xsd:element>
    <xsd:element name="Background" ma:index="28" nillable="true" ma:displayName="Background" ma:default="0" ma:format="Dropdown" ma:internalName="Background">
      <xsd:simpleType>
        <xsd:restriction base="dms:Boolean"/>
      </xsd:simpleType>
    </xsd:element>
    <xsd:element name="MediaServiceSearchProperties" ma:index="29" nillable="true" ma:displayName="MediaServiceSearchProperties" ma:hidden="true" ma:internalName="MediaServiceSearchProperties" ma:readOnly="true">
      <xsd:simpleType>
        <xsd:restriction base="dms:Note"/>
      </xsd:simpleType>
    </xsd:element>
    <xsd:element name="MediaServiceDocTags" ma:index="30" nillable="true" ma:displayName="MediaServiceDocTags" ma:hidden="true" ma:internalName="MediaServiceDoc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6c05727-aa75-4e4a-9b5f-8a80a1165891" elementFormDefault="qualified">
    <xsd:import namespace="http://schemas.microsoft.com/office/2006/documentManagement/types"/>
    <xsd:import namespace="http://schemas.microsoft.com/office/infopath/2007/PartnerControls"/>
    <xsd:element name="SharedWithUsers" ma:index="14" nillable="true" ma:displayName="Shared With" ma:hidden="tru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hidden="true" ma:internalName="SharedWithDetail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30e9df3-be65-4c73-a93b-d1236ebd677e"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3f6bfcbc-3db3-4ae6-bd76-326f0798ad28}" ma:internalName="TaxCatchAll" ma:readOnly="false" ma:showField="CatchAllData" ma:web="16c05727-aa75-4e4a-9b5f-8a80a116589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3C97F38-AC51-4DF5-A8A1-C688B0C06A98}">
  <ds:schemaRefs>
    <ds:schemaRef ds:uri="http://purl.org/dc/terms/"/>
    <ds:schemaRef ds:uri="http://schemas.microsoft.com/office/infopath/2007/PartnerControls"/>
    <ds:schemaRef ds:uri="http://schemas.microsoft.com/office/2006/documentManagement/types"/>
    <ds:schemaRef ds:uri="230e9df3-be65-4c73-a93b-d1236ebd677e"/>
    <ds:schemaRef ds:uri="16c05727-aa75-4e4a-9b5f-8a80a1165891"/>
    <ds:schemaRef ds:uri="http://purl.org/dc/dcmitype/"/>
    <ds:schemaRef ds:uri="http://schemas.microsoft.com/office/2006/metadata/properties"/>
    <ds:schemaRef ds:uri="http://www.w3.org/XML/1998/namespace"/>
    <ds:schemaRef ds:uri="http://schemas.openxmlformats.org/package/2006/metadata/core-properties"/>
    <ds:schemaRef ds:uri="71af3243-3dd4-4a8d-8c0d-dd76da1f02a5"/>
    <ds:schemaRef ds:uri="http://schemas.microsoft.com/sharepoint/v3"/>
    <ds:schemaRef ds:uri="http://purl.org/dc/elements/1.1/"/>
  </ds:schemaRefs>
</ds:datastoreItem>
</file>

<file path=customXml/itemProps2.xml><?xml version="1.0" encoding="utf-8"?>
<ds:datastoreItem xmlns:ds="http://schemas.openxmlformats.org/officeDocument/2006/customXml" ds:itemID="{A421AA56-93FF-42F2-9B83-858AC84E66F6}">
  <ds:schemaRefs>
    <ds:schemaRef ds:uri="http://schemas.microsoft.com/sharepoint/v3/contenttype/forms"/>
  </ds:schemaRefs>
</ds:datastoreItem>
</file>

<file path=customXml/itemProps3.xml><?xml version="1.0" encoding="utf-8"?>
<ds:datastoreItem xmlns:ds="http://schemas.openxmlformats.org/officeDocument/2006/customXml" ds:itemID="{A58CDC10-ABEC-4481-B96A-4E286E4D670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71af3243-3dd4-4a8d-8c0d-dd76da1f02a5"/>
    <ds:schemaRef ds:uri="16c05727-aa75-4e4a-9b5f-8a80a1165891"/>
    <ds:schemaRef ds:uri="230e9df3-be65-4c73-a93b-d1236ebd677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emplate>TM04101071</Template>
  <Application>Microsoft Excel</Application>
  <DocSecurity>0</DocSecurity>
  <ScaleCrop>false</ScaleCrop>
  <HeadingPairs>
    <vt:vector size="4" baseType="variant">
      <vt:variant>
        <vt:lpstr>Worksheets</vt:lpstr>
      </vt:variant>
      <vt:variant>
        <vt:i4>7</vt:i4>
      </vt:variant>
      <vt:variant>
        <vt:lpstr>Named Ranges</vt:lpstr>
      </vt:variant>
      <vt:variant>
        <vt:i4>12</vt:i4>
      </vt:variant>
    </vt:vector>
  </HeadingPairs>
  <TitlesOfParts>
    <vt:vector size="19" baseType="lpstr">
      <vt:lpstr>How to Use This Tool</vt:lpstr>
      <vt:lpstr>My Dashboard</vt:lpstr>
      <vt:lpstr>Monthly Budget</vt:lpstr>
      <vt:lpstr>Annuity Investment</vt:lpstr>
      <vt:lpstr>Simple Loan Calculator</vt:lpstr>
      <vt:lpstr>Student Loan Calculator </vt:lpstr>
      <vt:lpstr>Annual Budget</vt:lpstr>
      <vt:lpstr>CombinedMonthlyPayment</vt:lpstr>
      <vt:lpstr>ConsLoanPayback</vt:lpstr>
      <vt:lpstr>'Student Loan Calculator '!EstimatedAnnualSalary</vt:lpstr>
      <vt:lpstr>'Student Loan Calculator '!EstimatedMonthlySalary</vt:lpstr>
      <vt:lpstr>Interest_Rate</vt:lpstr>
      <vt:lpstr>Loan_Amount</vt:lpstr>
      <vt:lpstr>Loan_Start</vt:lpstr>
      <vt:lpstr>Loan_Years</vt:lpstr>
      <vt:lpstr>'Student Loan Calculator '!LoanPaybackStart</vt:lpstr>
      <vt:lpstr>Number_of_Payments</vt:lpstr>
      <vt:lpstr>'Student Loan Calculator '!Print_Titles</vt:lpstr>
      <vt:lpstr>Total_Cost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2022-11-06T05:44:32Z</dcterms:created>
  <dcterms:modified xsi:type="dcterms:W3CDTF">2025-04-10T14:31:11Z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0x01010079F111ED35F8CC479449609E8A0923A6</vt:lpwstr>
  </property>
</Properties>
</file>